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DieseArbeitsmappe"/>
  <bookViews>
    <workbookView xWindow="0" yWindow="1368" windowWidth="15360" windowHeight="8772" activeTab="1"/>
  </bookViews>
  <sheets>
    <sheet name="PSE" sheetId="1" r:id="rId1"/>
    <sheet name="Tabelle1" sheetId="2" r:id="rId2"/>
    <sheet name="abc" sheetId="3" r:id="rId3"/>
    <sheet name="Isotope" sheetId="4" r:id="rId4"/>
  </sheets>
  <definedNames>
    <definedName name="_xlnm.Print_Area" localSheetId="1">Tabelle1!$A$1:$AL$50</definedName>
    <definedName name="Print_Area" localSheetId="2">abc!$A$1:$K$59</definedName>
    <definedName name="TABLE" localSheetId="2">abc!#REF!</definedName>
    <definedName name="TABLE" localSheetId="0">PSE!$H$2:$H$113</definedName>
  </definedNames>
  <calcPr calcId="125725"/>
</workbook>
</file>

<file path=xl/calcChain.xml><?xml version="1.0" encoding="utf-8"?>
<calcChain xmlns="http://schemas.openxmlformats.org/spreadsheetml/2006/main">
  <c r="T4" i="2"/>
  <c r="G2" i="4"/>
  <c r="N2"/>
  <c r="G3"/>
  <c r="H3"/>
  <c r="I3"/>
  <c r="N3" s="1"/>
  <c r="G4"/>
  <c r="H4"/>
  <c r="I4" s="1"/>
  <c r="N4" s="1"/>
  <c r="G5"/>
  <c r="H5"/>
  <c r="I5" s="1"/>
  <c r="N5" s="1"/>
  <c r="N6"/>
  <c r="N7"/>
  <c r="G8"/>
  <c r="H8"/>
  <c r="I8" s="1"/>
  <c r="N8" s="1"/>
  <c r="G9"/>
  <c r="H9"/>
  <c r="I9" s="1"/>
  <c r="N9" s="1"/>
  <c r="N10"/>
  <c r="N11"/>
  <c r="G12"/>
  <c r="H12"/>
  <c r="I12" s="1"/>
  <c r="N12" s="1"/>
  <c r="G13"/>
  <c r="H13"/>
  <c r="I13" s="1"/>
  <c r="N13" s="1"/>
  <c r="N14"/>
  <c r="N15"/>
  <c r="G16"/>
  <c r="H16"/>
  <c r="I16" s="1"/>
  <c r="N16" s="1"/>
  <c r="G17"/>
  <c r="H17"/>
  <c r="I17" s="1"/>
  <c r="N17" s="1"/>
  <c r="N18"/>
  <c r="N19"/>
  <c r="G20"/>
  <c r="H20"/>
  <c r="I20" s="1"/>
  <c r="N20" s="1"/>
  <c r="G21"/>
  <c r="H21"/>
  <c r="I21" s="1"/>
  <c r="N21" s="1"/>
  <c r="N22"/>
  <c r="N23"/>
  <c r="G24"/>
  <c r="H24"/>
  <c r="I24" s="1"/>
  <c r="N24" s="1"/>
  <c r="G25"/>
  <c r="H25"/>
  <c r="I25" s="1"/>
  <c r="N25" s="1"/>
  <c r="G26"/>
  <c r="H26"/>
  <c r="I26" s="1"/>
  <c r="N26" s="1"/>
  <c r="N27"/>
  <c r="N28"/>
  <c r="G29"/>
  <c r="H29"/>
  <c r="I29" s="1"/>
  <c r="N29" s="1"/>
  <c r="G30"/>
  <c r="H30"/>
  <c r="I30" s="1"/>
  <c r="N30" s="1"/>
  <c r="N31"/>
  <c r="N32"/>
  <c r="G33"/>
  <c r="H33"/>
  <c r="I33" s="1"/>
  <c r="N33" s="1"/>
  <c r="G34"/>
  <c r="H34"/>
  <c r="I34" s="1"/>
  <c r="N34" s="1"/>
  <c r="G35"/>
  <c r="H35"/>
  <c r="I35" s="1"/>
  <c r="N35" s="1"/>
  <c r="N36"/>
  <c r="N37"/>
  <c r="G38"/>
  <c r="H38"/>
  <c r="I38" s="1"/>
  <c r="N38" s="1"/>
  <c r="N39"/>
  <c r="N40"/>
  <c r="G41"/>
  <c r="H41"/>
  <c r="I41" s="1"/>
  <c r="N41" s="1"/>
  <c r="G42"/>
  <c r="H42"/>
  <c r="I42" s="1"/>
  <c r="N42" s="1"/>
  <c r="G43"/>
  <c r="H43"/>
  <c r="I43" s="1"/>
  <c r="N43" s="1"/>
  <c r="N44"/>
  <c r="N45"/>
  <c r="G46"/>
  <c r="H46"/>
  <c r="I46" s="1"/>
  <c r="N46" s="1"/>
  <c r="G47"/>
  <c r="H47"/>
  <c r="I47" s="1"/>
  <c r="N47" s="1"/>
  <c r="N48"/>
  <c r="N49"/>
  <c r="G50"/>
  <c r="H50"/>
  <c r="I50" s="1"/>
  <c r="N50" s="1"/>
  <c r="G51"/>
  <c r="H51"/>
  <c r="I51" s="1"/>
  <c r="N51" s="1"/>
  <c r="G52"/>
  <c r="H52"/>
  <c r="I52" s="1"/>
  <c r="N52" s="1"/>
  <c r="N53"/>
  <c r="N54"/>
  <c r="G55"/>
  <c r="H55"/>
  <c r="I55" s="1"/>
  <c r="N55" s="1"/>
  <c r="N56"/>
  <c r="N57"/>
  <c r="G58"/>
  <c r="H58"/>
  <c r="I58" s="1"/>
  <c r="N58" s="1"/>
  <c r="G59"/>
  <c r="H59"/>
  <c r="I59" s="1"/>
  <c r="N59" s="1"/>
  <c r="G60"/>
  <c r="H60"/>
  <c r="I60" s="1"/>
  <c r="N60" s="1"/>
  <c r="N61"/>
  <c r="N62"/>
  <c r="G63"/>
  <c r="H63"/>
  <c r="I63" s="1"/>
  <c r="N63" s="1"/>
  <c r="N64"/>
  <c r="N65"/>
  <c r="G66"/>
  <c r="H66"/>
  <c r="I66" s="1"/>
  <c r="N66" s="1"/>
  <c r="G67"/>
  <c r="H67"/>
  <c r="I67" s="1"/>
  <c r="N67" s="1"/>
  <c r="G68"/>
  <c r="H68"/>
  <c r="I68" s="1"/>
  <c r="N68" s="1"/>
  <c r="G69"/>
  <c r="H69"/>
  <c r="I69" s="1"/>
  <c r="N69" s="1"/>
  <c r="N70"/>
  <c r="N71"/>
  <c r="G72"/>
  <c r="H72"/>
  <c r="I72" s="1"/>
  <c r="N72" s="1"/>
  <c r="G73"/>
  <c r="H73"/>
  <c r="I73" s="1"/>
  <c r="N73" s="1"/>
  <c r="N74"/>
  <c r="N75"/>
  <c r="G76"/>
  <c r="H76"/>
  <c r="I76" s="1"/>
  <c r="N76" s="1"/>
  <c r="G77"/>
  <c r="H77"/>
  <c r="I77" s="1"/>
  <c r="N77" s="1"/>
  <c r="G78"/>
  <c r="H78"/>
  <c r="I78" s="1"/>
  <c r="N78" s="1"/>
  <c r="N79"/>
  <c r="N80"/>
  <c r="G81"/>
  <c r="H81"/>
  <c r="I81" s="1"/>
  <c r="N81" s="1"/>
  <c r="G82"/>
  <c r="H82"/>
  <c r="I82" s="1"/>
  <c r="N82" s="1"/>
  <c r="G83"/>
  <c r="H83"/>
  <c r="I83" s="1"/>
  <c r="N83" s="1"/>
  <c r="N84"/>
  <c r="N85"/>
  <c r="G86"/>
  <c r="H86"/>
  <c r="I86" s="1"/>
  <c r="N86" s="1"/>
  <c r="G87"/>
  <c r="H87"/>
  <c r="I87" s="1"/>
  <c r="N87" s="1"/>
  <c r="G88"/>
  <c r="H88"/>
  <c r="I88" s="1"/>
  <c r="N88" s="1"/>
  <c r="G89"/>
  <c r="H89"/>
  <c r="I89" s="1"/>
  <c r="N89" s="1"/>
  <c r="G90"/>
  <c r="H90"/>
  <c r="I90" s="1"/>
  <c r="N90" s="1"/>
  <c r="G91"/>
  <c r="H91"/>
  <c r="I91" s="1"/>
  <c r="N91" s="1"/>
  <c r="N92"/>
  <c r="N93"/>
  <c r="G94"/>
  <c r="H94"/>
  <c r="I94" s="1"/>
  <c r="N94" s="1"/>
  <c r="N95"/>
  <c r="N96"/>
  <c r="G97"/>
  <c r="H97"/>
  <c r="I97" s="1"/>
  <c r="N97" s="1"/>
  <c r="G98"/>
  <c r="H98"/>
  <c r="I98" s="1"/>
  <c r="N98" s="1"/>
  <c r="G99"/>
  <c r="H99"/>
  <c r="I99" s="1"/>
  <c r="N99" s="1"/>
  <c r="G100"/>
  <c r="H100"/>
  <c r="I100" s="1"/>
  <c r="N100" s="1"/>
  <c r="G101"/>
  <c r="H101"/>
  <c r="I101" s="1"/>
  <c r="N101" s="1"/>
  <c r="N102"/>
  <c r="N103"/>
  <c r="G104"/>
  <c r="H104"/>
  <c r="I104" s="1"/>
  <c r="N104" s="1"/>
  <c r="G105"/>
  <c r="H105"/>
  <c r="I105" s="1"/>
  <c r="N105" s="1"/>
  <c r="N106"/>
  <c r="N107"/>
  <c r="G108"/>
  <c r="H108"/>
  <c r="I108" s="1"/>
  <c r="N108" s="1"/>
  <c r="G109"/>
  <c r="H109"/>
  <c r="I109" s="1"/>
  <c r="N109" s="1"/>
  <c r="G110"/>
  <c r="H110"/>
  <c r="I110" s="1"/>
  <c r="N110" s="1"/>
  <c r="G111"/>
  <c r="H111"/>
  <c r="I111" s="1"/>
  <c r="N111" s="1"/>
  <c r="N112"/>
  <c r="N113"/>
  <c r="G114"/>
  <c r="H114"/>
  <c r="I114" s="1"/>
  <c r="N114" s="1"/>
  <c r="N115"/>
  <c r="N116"/>
  <c r="G117"/>
  <c r="H117"/>
  <c r="I117" s="1"/>
  <c r="N117" s="1"/>
  <c r="G118"/>
  <c r="H118"/>
  <c r="I118" s="1"/>
  <c r="N118" s="1"/>
  <c r="G119"/>
  <c r="H119"/>
  <c r="I119" s="1"/>
  <c r="N119" s="1"/>
  <c r="G120"/>
  <c r="H120"/>
  <c r="I120" s="1"/>
  <c r="N120" s="1"/>
  <c r="N121"/>
  <c r="N122"/>
  <c r="G123"/>
  <c r="H123"/>
  <c r="I123" s="1"/>
  <c r="N123" s="1"/>
  <c r="G124"/>
  <c r="H124"/>
  <c r="I124" s="1"/>
  <c r="N124" s="1"/>
  <c r="N125"/>
  <c r="N126"/>
  <c r="G127"/>
  <c r="H127"/>
  <c r="I127" s="1"/>
  <c r="N127" s="1"/>
  <c r="G128"/>
  <c r="H128"/>
  <c r="I128" s="1"/>
  <c r="N128" s="1"/>
  <c r="G129"/>
  <c r="H129"/>
  <c r="I129" s="1"/>
  <c r="N129" s="1"/>
  <c r="G130"/>
  <c r="H130"/>
  <c r="I130" s="1"/>
  <c r="N130" s="1"/>
  <c r="G131"/>
  <c r="H131"/>
  <c r="I131" s="1"/>
  <c r="N131" s="1"/>
  <c r="N132"/>
  <c r="N133"/>
  <c r="G134"/>
  <c r="H134"/>
  <c r="I134" s="1"/>
  <c r="N134" s="1"/>
  <c r="G135"/>
  <c r="H135"/>
  <c r="I135" s="1"/>
  <c r="N135" s="1"/>
  <c r="N136"/>
  <c r="N137"/>
  <c r="G138"/>
  <c r="H138"/>
  <c r="I138" s="1"/>
  <c r="N138" s="1"/>
  <c r="G139"/>
  <c r="H139"/>
  <c r="I139" s="1"/>
  <c r="N139" s="1"/>
  <c r="G140"/>
  <c r="H140"/>
  <c r="I140" s="1"/>
  <c r="N140" s="1"/>
  <c r="G141"/>
  <c r="H141"/>
  <c r="I141" s="1"/>
  <c r="N141" s="1"/>
  <c r="G142"/>
  <c r="H142"/>
  <c r="I142" s="1"/>
  <c r="N142" s="1"/>
  <c r="N143"/>
  <c r="N144"/>
  <c r="G145"/>
  <c r="H145"/>
  <c r="I145" s="1"/>
  <c r="N145" s="1"/>
  <c r="G146"/>
  <c r="H146"/>
  <c r="I146" s="1"/>
  <c r="N146" s="1"/>
  <c r="N147"/>
  <c r="N148"/>
  <c r="G149"/>
  <c r="H149"/>
  <c r="I149" s="1"/>
  <c r="N149" s="1"/>
  <c r="G150"/>
  <c r="H150"/>
  <c r="I150" s="1"/>
  <c r="N150" s="1"/>
  <c r="G151"/>
  <c r="H151"/>
  <c r="I151" s="1"/>
  <c r="N151" s="1"/>
  <c r="G152"/>
  <c r="H152"/>
  <c r="I152" s="1"/>
  <c r="N152" s="1"/>
  <c r="G153"/>
  <c r="H153"/>
  <c r="I153" s="1"/>
  <c r="N153" s="1"/>
  <c r="N154"/>
  <c r="N155"/>
  <c r="G156"/>
  <c r="H156"/>
  <c r="I156" s="1"/>
  <c r="N156" s="1"/>
  <c r="N157"/>
  <c r="N158"/>
  <c r="G159"/>
  <c r="H159"/>
  <c r="I159" s="1"/>
  <c r="N159" s="1"/>
  <c r="G160"/>
  <c r="H160"/>
  <c r="I160" s="1"/>
  <c r="N160" s="1"/>
  <c r="G161"/>
  <c r="H161"/>
  <c r="I161" s="1"/>
  <c r="N161" s="1"/>
  <c r="G162"/>
  <c r="H162"/>
  <c r="I162" s="1"/>
  <c r="N162" s="1"/>
  <c r="G163"/>
  <c r="H163"/>
  <c r="I163" s="1"/>
  <c r="N163" s="1"/>
  <c r="G164"/>
  <c r="H164"/>
  <c r="I164" s="1"/>
  <c r="N164" s="1"/>
  <c r="N165"/>
  <c r="N166"/>
  <c r="G167"/>
  <c r="H167"/>
  <c r="I167" s="1"/>
  <c r="N167" s="1"/>
  <c r="G168"/>
  <c r="H168"/>
  <c r="I168" s="1"/>
  <c r="N168" s="1"/>
  <c r="N169"/>
  <c r="N170"/>
  <c r="G171"/>
  <c r="H171"/>
  <c r="I171" s="1"/>
  <c r="N171" s="1"/>
  <c r="G172"/>
  <c r="H172"/>
  <c r="I172" s="1"/>
  <c r="N172" s="1"/>
  <c r="G173"/>
  <c r="H173"/>
  <c r="I173" s="1"/>
  <c r="N173" s="1"/>
  <c r="G174"/>
  <c r="H174"/>
  <c r="I174" s="1"/>
  <c r="N174" s="1"/>
  <c r="G175"/>
  <c r="H175"/>
  <c r="I175" s="1"/>
  <c r="N175" s="1"/>
  <c r="G176"/>
  <c r="H176"/>
  <c r="I176" s="1"/>
  <c r="N176" s="1"/>
  <c r="N177"/>
  <c r="N178"/>
  <c r="G179"/>
  <c r="H179"/>
  <c r="I179" s="1"/>
  <c r="N179" s="1"/>
  <c r="G180"/>
  <c r="H180"/>
  <c r="I180" s="1"/>
  <c r="N180" s="1"/>
  <c r="N181"/>
  <c r="N182"/>
  <c r="G183"/>
  <c r="H183"/>
  <c r="I183" s="1"/>
  <c r="N183" s="1"/>
  <c r="G184"/>
  <c r="H184"/>
  <c r="I184" s="1"/>
  <c r="N184" s="1"/>
  <c r="G185"/>
  <c r="H185"/>
  <c r="I185" s="1"/>
  <c r="N185" s="1"/>
  <c r="G186"/>
  <c r="H186"/>
  <c r="I186" s="1"/>
  <c r="N186" s="1"/>
  <c r="G187"/>
  <c r="H187"/>
  <c r="I187" s="1"/>
  <c r="N187" s="1"/>
  <c r="N188"/>
  <c r="N189"/>
  <c r="G190"/>
  <c r="H190"/>
  <c r="I190" s="1"/>
  <c r="N190" s="1"/>
  <c r="N191"/>
  <c r="N192"/>
  <c r="G193"/>
  <c r="H193"/>
  <c r="I193" s="1"/>
  <c r="N193" s="1"/>
  <c r="G194"/>
  <c r="H194"/>
  <c r="I194" s="1"/>
  <c r="N194" s="1"/>
  <c r="G195"/>
  <c r="H195"/>
  <c r="I195" s="1"/>
  <c r="N195" s="1"/>
  <c r="G196"/>
  <c r="H196"/>
  <c r="I196" s="1"/>
  <c r="N196" s="1"/>
  <c r="G197"/>
  <c r="H197"/>
  <c r="I197" s="1"/>
  <c r="N197" s="1"/>
  <c r="N198"/>
  <c r="N199"/>
  <c r="G200"/>
  <c r="H200"/>
  <c r="I200" s="1"/>
  <c r="N200" s="1"/>
  <c r="N201"/>
  <c r="N202"/>
  <c r="G203"/>
  <c r="H203"/>
  <c r="I203" s="1"/>
  <c r="N203" s="1"/>
  <c r="G204"/>
  <c r="H204"/>
  <c r="I204" s="1"/>
  <c r="N204" s="1"/>
  <c r="G205"/>
  <c r="H205"/>
  <c r="I205" s="1"/>
  <c r="N205" s="1"/>
  <c r="G206"/>
  <c r="H206"/>
  <c r="I206" s="1"/>
  <c r="N206" s="1"/>
  <c r="G207"/>
  <c r="H207"/>
  <c r="I207" s="1"/>
  <c r="N207" s="1"/>
  <c r="G208"/>
  <c r="H208"/>
  <c r="I208" s="1"/>
  <c r="N208" s="1"/>
  <c r="G209"/>
  <c r="H209"/>
  <c r="I209" s="1"/>
  <c r="N209" s="1"/>
  <c r="N210"/>
  <c r="N211"/>
  <c r="G212"/>
  <c r="H212"/>
  <c r="I212" s="1"/>
  <c r="N212" s="1"/>
  <c r="G213"/>
  <c r="H213"/>
  <c r="I213" s="1"/>
  <c r="N213" s="1"/>
  <c r="N214"/>
  <c r="N215"/>
  <c r="G216"/>
  <c r="H216"/>
  <c r="I216" s="1"/>
  <c r="N216" s="1"/>
  <c r="G217"/>
  <c r="H217"/>
  <c r="I217" s="1"/>
  <c r="N217" s="1"/>
  <c r="G218"/>
  <c r="H218"/>
  <c r="I218" s="1"/>
  <c r="N218" s="1"/>
  <c r="G219"/>
  <c r="H219"/>
  <c r="I219" s="1"/>
  <c r="N219" s="1"/>
  <c r="G220"/>
  <c r="H220"/>
  <c r="I220" s="1"/>
  <c r="N220" s="1"/>
  <c r="G221"/>
  <c r="H221"/>
  <c r="I221" s="1"/>
  <c r="N221" s="1"/>
  <c r="G222"/>
  <c r="H222"/>
  <c r="I222" s="1"/>
  <c r="N222" s="1"/>
  <c r="N223"/>
  <c r="N224"/>
  <c r="G225"/>
  <c r="H225"/>
  <c r="I225" s="1"/>
  <c r="N225" s="1"/>
  <c r="N226"/>
  <c r="N227"/>
  <c r="G228"/>
  <c r="H228"/>
  <c r="I228" s="1"/>
  <c r="N228" s="1"/>
  <c r="G229"/>
  <c r="H229"/>
  <c r="I229" s="1"/>
  <c r="N229" s="1"/>
  <c r="G230"/>
  <c r="H230"/>
  <c r="I230" s="1"/>
  <c r="N230" s="1"/>
  <c r="G231"/>
  <c r="H231"/>
  <c r="I231" s="1"/>
  <c r="N231" s="1"/>
  <c r="G232"/>
  <c r="H232"/>
  <c r="I232" s="1"/>
  <c r="N232" s="1"/>
  <c r="G233"/>
  <c r="H233"/>
  <c r="I233" s="1"/>
  <c r="N233" s="1"/>
  <c r="N234"/>
  <c r="N235"/>
  <c r="G236"/>
  <c r="H236"/>
  <c r="I236" s="1"/>
  <c r="N236" s="1"/>
  <c r="G237"/>
  <c r="H237"/>
  <c r="I237" s="1"/>
  <c r="N237" s="1"/>
  <c r="N238"/>
  <c r="N239"/>
  <c r="G240"/>
  <c r="H240"/>
  <c r="I240" s="1"/>
  <c r="N240" s="1"/>
  <c r="G241"/>
  <c r="H241"/>
  <c r="I241" s="1"/>
  <c r="N241" s="1"/>
  <c r="G242"/>
  <c r="H242"/>
  <c r="I242" s="1"/>
  <c r="N242" s="1"/>
  <c r="G243"/>
  <c r="H243"/>
  <c r="I243" s="1"/>
  <c r="N243" s="1"/>
  <c r="G244"/>
  <c r="H244"/>
  <c r="I244" s="1"/>
  <c r="N244" s="1"/>
  <c r="G245"/>
  <c r="H245"/>
  <c r="I245" s="1"/>
  <c r="N245" s="1"/>
  <c r="G246"/>
  <c r="H246"/>
  <c r="I246" s="1"/>
  <c r="N246" s="1"/>
  <c r="G247"/>
  <c r="H247"/>
  <c r="I247" s="1"/>
  <c r="N247" s="1"/>
  <c r="N248"/>
  <c r="N249"/>
  <c r="G250"/>
  <c r="H250"/>
  <c r="I250" s="1"/>
  <c r="N250" s="1"/>
  <c r="G251"/>
  <c r="H251"/>
  <c r="I251" s="1"/>
  <c r="N251" s="1"/>
  <c r="N252"/>
  <c r="N253"/>
  <c r="G254"/>
  <c r="H254"/>
  <c r="I254" s="1"/>
  <c r="N254" s="1"/>
  <c r="G255"/>
  <c r="H255"/>
  <c r="I255" s="1"/>
  <c r="N255" s="1"/>
  <c r="G256"/>
  <c r="H256"/>
  <c r="I256" s="1"/>
  <c r="N256" s="1"/>
  <c r="G257"/>
  <c r="H257"/>
  <c r="I257" s="1"/>
  <c r="N257" s="1"/>
  <c r="G258"/>
  <c r="H258"/>
  <c r="I258" s="1"/>
  <c r="N258" s="1"/>
  <c r="G259"/>
  <c r="H259"/>
  <c r="I259" s="1"/>
  <c r="N259" s="1"/>
  <c r="G260"/>
  <c r="H260"/>
  <c r="I260" s="1"/>
  <c r="N260" s="1"/>
  <c r="G261"/>
  <c r="H261"/>
  <c r="I261" s="1"/>
  <c r="N261" s="1"/>
  <c r="G262"/>
  <c r="H262"/>
  <c r="I262" s="1"/>
  <c r="N262" s="1"/>
  <c r="G263"/>
  <c r="H263"/>
  <c r="I263" s="1"/>
  <c r="N263" s="1"/>
  <c r="N264"/>
  <c r="N265"/>
  <c r="G266"/>
  <c r="H266"/>
  <c r="I266" s="1"/>
  <c r="N266" s="1"/>
  <c r="G267"/>
  <c r="H267"/>
  <c r="I267" s="1"/>
  <c r="N267" s="1"/>
  <c r="N268"/>
  <c r="N269"/>
  <c r="G270"/>
  <c r="H270"/>
  <c r="I270" s="1"/>
  <c r="N270" s="1"/>
  <c r="G271"/>
  <c r="H271"/>
  <c r="I271" s="1"/>
  <c r="N271" s="1"/>
  <c r="G272"/>
  <c r="H272"/>
  <c r="I272" s="1"/>
  <c r="N272" s="1"/>
  <c r="G273"/>
  <c r="H273"/>
  <c r="I273" s="1"/>
  <c r="N273" s="1"/>
  <c r="G274"/>
  <c r="H274"/>
  <c r="I274" s="1"/>
  <c r="N274" s="1"/>
  <c r="G275"/>
  <c r="H275"/>
  <c r="I275" s="1"/>
  <c r="N275" s="1"/>
  <c r="G276"/>
  <c r="H276"/>
  <c r="I276" s="1"/>
  <c r="N276" s="1"/>
  <c r="G277"/>
  <c r="H277"/>
  <c r="I277" s="1"/>
  <c r="N277" s="1"/>
  <c r="N278"/>
  <c r="N279"/>
  <c r="G280"/>
  <c r="H280"/>
  <c r="I280" s="1"/>
  <c r="N280" s="1"/>
  <c r="G281"/>
  <c r="H281"/>
  <c r="I281" s="1"/>
  <c r="N281" s="1"/>
  <c r="G282"/>
  <c r="H282"/>
  <c r="I282" s="1"/>
  <c r="N282" s="1"/>
  <c r="N283"/>
  <c r="N284"/>
  <c r="G285"/>
  <c r="H285"/>
  <c r="I285" s="1"/>
  <c r="N285" s="1"/>
  <c r="G286"/>
  <c r="H286"/>
  <c r="I286" s="1"/>
  <c r="N286" s="1"/>
  <c r="G287"/>
  <c r="H287"/>
  <c r="I287" s="1"/>
  <c r="N287" s="1"/>
  <c r="G288"/>
  <c r="H288"/>
  <c r="I288" s="1"/>
  <c r="N288" s="1"/>
  <c r="G289"/>
  <c r="H289"/>
  <c r="I289" s="1"/>
  <c r="N289" s="1"/>
  <c r="G290"/>
  <c r="H290"/>
  <c r="I290" s="1"/>
  <c r="N290" s="1"/>
  <c r="G291"/>
  <c r="H291"/>
  <c r="I291" s="1"/>
  <c r="N291" s="1"/>
  <c r="G292"/>
  <c r="H292"/>
  <c r="I292" s="1"/>
  <c r="N292" s="1"/>
  <c r="G293"/>
  <c r="H293"/>
  <c r="I293" s="1"/>
  <c r="N293" s="1"/>
  <c r="N294"/>
  <c r="N295"/>
  <c r="G296"/>
  <c r="H296"/>
  <c r="I296" s="1"/>
  <c r="N296" s="1"/>
  <c r="G297"/>
  <c r="H297"/>
  <c r="I297" s="1"/>
  <c r="N297" s="1"/>
  <c r="G298"/>
  <c r="H298"/>
  <c r="I298" s="1"/>
  <c r="N298" s="1"/>
  <c r="N299"/>
  <c r="N300"/>
  <c r="G301"/>
  <c r="H301"/>
  <c r="I301" s="1"/>
  <c r="N301" s="1"/>
  <c r="G302"/>
  <c r="H302"/>
  <c r="I302" s="1"/>
  <c r="N302" s="1"/>
  <c r="G303"/>
  <c r="H303"/>
  <c r="I303" s="1"/>
  <c r="N303" s="1"/>
  <c r="G304"/>
  <c r="H304"/>
  <c r="I304" s="1"/>
  <c r="N304" s="1"/>
  <c r="G305"/>
  <c r="H305"/>
  <c r="I305" s="1"/>
  <c r="N305" s="1"/>
  <c r="G306"/>
  <c r="H306"/>
  <c r="I306" s="1"/>
  <c r="N306" s="1"/>
  <c r="G307"/>
  <c r="H307"/>
  <c r="I307" s="1"/>
  <c r="N307" s="1"/>
  <c r="N308"/>
  <c r="N309"/>
  <c r="G310"/>
  <c r="H310"/>
  <c r="I310" s="1"/>
  <c r="N310" s="1"/>
  <c r="G311"/>
  <c r="H311"/>
  <c r="I311" s="1"/>
  <c r="N311" s="1"/>
  <c r="N312"/>
  <c r="N313"/>
  <c r="G314"/>
  <c r="H314"/>
  <c r="I314" s="1"/>
  <c r="N314" s="1"/>
  <c r="G315"/>
  <c r="H315"/>
  <c r="I315" s="1"/>
  <c r="N315" s="1"/>
  <c r="G316"/>
  <c r="H316"/>
  <c r="I316" s="1"/>
  <c r="N316" s="1"/>
  <c r="G317"/>
  <c r="H317"/>
  <c r="I317" s="1"/>
  <c r="N317" s="1"/>
  <c r="N318"/>
  <c r="N319"/>
  <c r="G320"/>
  <c r="H320"/>
  <c r="I320" s="1"/>
  <c r="N320" s="1"/>
  <c r="N321"/>
  <c r="N322"/>
  <c r="G323"/>
  <c r="H323"/>
  <c r="I323" s="1"/>
  <c r="N323" s="1"/>
  <c r="G324"/>
  <c r="H324"/>
  <c r="I324" s="1"/>
  <c r="N324" s="1"/>
  <c r="G325"/>
  <c r="H325"/>
  <c r="I325" s="1"/>
  <c r="N325" s="1"/>
  <c r="G326"/>
  <c r="H326"/>
  <c r="I326" s="1"/>
  <c r="N326" s="1"/>
  <c r="G327"/>
  <c r="H327"/>
  <c r="I327" s="1"/>
  <c r="N327" s="1"/>
  <c r="G328"/>
  <c r="H328"/>
  <c r="I328" s="1"/>
  <c r="N328" s="1"/>
  <c r="G329"/>
  <c r="H329"/>
  <c r="I329" s="1"/>
  <c r="N329" s="1"/>
  <c r="N330"/>
  <c r="N331"/>
  <c r="G332"/>
  <c r="H332"/>
  <c r="I332" s="1"/>
  <c r="N332" s="1"/>
  <c r="N333"/>
  <c r="N334"/>
  <c r="G335"/>
  <c r="H335"/>
  <c r="I335" s="1"/>
  <c r="N335" s="1"/>
  <c r="G336"/>
  <c r="H336"/>
  <c r="I336" s="1"/>
  <c r="N336" s="1"/>
  <c r="G337"/>
  <c r="H337"/>
  <c r="I337" s="1"/>
  <c r="N337" s="1"/>
  <c r="G338"/>
  <c r="H338"/>
  <c r="I338" s="1"/>
  <c r="N338" s="1"/>
  <c r="G339"/>
  <c r="H339"/>
  <c r="I339" s="1"/>
  <c r="N339" s="1"/>
  <c r="G340"/>
  <c r="H340"/>
  <c r="I340" s="1"/>
  <c r="N340" s="1"/>
  <c r="G341"/>
  <c r="H341"/>
  <c r="I341" s="1"/>
  <c r="N341" s="1"/>
  <c r="N342"/>
  <c r="N343"/>
  <c r="G344"/>
  <c r="H344"/>
  <c r="G345"/>
  <c r="H345"/>
  <c r="N346"/>
  <c r="N347"/>
  <c r="G348"/>
  <c r="H348"/>
  <c r="I348" s="1"/>
  <c r="N348" s="1"/>
  <c r="G349"/>
  <c r="H349"/>
  <c r="I349" s="1"/>
  <c r="N349" s="1"/>
  <c r="G350"/>
  <c r="H350"/>
  <c r="G351"/>
  <c r="H351"/>
  <c r="G352"/>
  <c r="H352"/>
  <c r="I352" s="1"/>
  <c r="N352" s="1"/>
  <c r="G353"/>
  <c r="H353"/>
  <c r="I353" s="1"/>
  <c r="N353" s="1"/>
  <c r="G354"/>
  <c r="H354"/>
  <c r="N355"/>
  <c r="N356"/>
  <c r="G357"/>
  <c r="H357"/>
  <c r="N358"/>
  <c r="N359"/>
  <c r="G360"/>
  <c r="H360"/>
  <c r="I360" s="1"/>
  <c r="N360" s="1"/>
  <c r="G361"/>
  <c r="H361"/>
  <c r="I361" s="1"/>
  <c r="N361" s="1"/>
  <c r="G362"/>
  <c r="H362"/>
  <c r="G363"/>
  <c r="H363"/>
  <c r="G364"/>
  <c r="H364"/>
  <c r="I364" s="1"/>
  <c r="N364" s="1"/>
  <c r="G365"/>
  <c r="H365"/>
  <c r="I365" s="1"/>
  <c r="N365" s="1"/>
  <c r="G366"/>
  <c r="H366"/>
  <c r="N367"/>
  <c r="N368"/>
  <c r="G369"/>
  <c r="H369"/>
  <c r="N370"/>
  <c r="N371"/>
  <c r="G372"/>
  <c r="H372"/>
  <c r="I372" s="1"/>
  <c r="N372" s="1"/>
  <c r="G373"/>
  <c r="H373"/>
  <c r="I373" s="1"/>
  <c r="N373" s="1"/>
  <c r="G374"/>
  <c r="H374"/>
  <c r="G375"/>
  <c r="H375"/>
  <c r="G376"/>
  <c r="H376"/>
  <c r="I376" s="1"/>
  <c r="N376" s="1"/>
  <c r="G377"/>
  <c r="H377"/>
  <c r="I377" s="1"/>
  <c r="N377" s="1"/>
  <c r="N378"/>
  <c r="N379"/>
  <c r="G380"/>
  <c r="H380"/>
  <c r="N381"/>
  <c r="N382"/>
  <c r="G383"/>
  <c r="H383"/>
  <c r="G384"/>
  <c r="H384"/>
  <c r="I384" s="1"/>
  <c r="N384" s="1"/>
  <c r="G385"/>
  <c r="H385"/>
  <c r="I385" s="1"/>
  <c r="N385" s="1"/>
  <c r="G386"/>
  <c r="H386"/>
  <c r="G387"/>
  <c r="H387"/>
  <c r="G388"/>
  <c r="H388"/>
  <c r="I388" s="1"/>
  <c r="N388" s="1"/>
  <c r="G389"/>
  <c r="H389"/>
  <c r="I389" s="1"/>
  <c r="N389" s="1"/>
  <c r="N390"/>
  <c r="N391"/>
  <c r="G392"/>
  <c r="H392"/>
  <c r="G393"/>
  <c r="H393"/>
  <c r="N394"/>
  <c r="N395"/>
  <c r="G396"/>
  <c r="H396"/>
  <c r="I396" s="1"/>
  <c r="N396" s="1"/>
  <c r="G397"/>
  <c r="H397"/>
  <c r="I397" s="1"/>
  <c r="N397" s="1"/>
  <c r="G398"/>
  <c r="H398"/>
  <c r="G399"/>
  <c r="H399"/>
  <c r="G400"/>
  <c r="H400"/>
  <c r="I400" s="1"/>
  <c r="N400" s="1"/>
  <c r="G401"/>
  <c r="H401"/>
  <c r="I401" s="1"/>
  <c r="N401" s="1"/>
  <c r="N402"/>
  <c r="N403"/>
  <c r="G404"/>
  <c r="H404"/>
  <c r="G405"/>
  <c r="H405"/>
  <c r="N406"/>
  <c r="N407"/>
  <c r="G408"/>
  <c r="H408"/>
  <c r="G409"/>
  <c r="H409"/>
  <c r="G410"/>
  <c r="H410"/>
  <c r="G411"/>
  <c r="H411"/>
  <c r="G412"/>
  <c r="H412"/>
  <c r="N413"/>
  <c r="N414"/>
  <c r="G415"/>
  <c r="H415"/>
  <c r="G416"/>
  <c r="H416"/>
  <c r="N417"/>
  <c r="N418"/>
  <c r="G419"/>
  <c r="H419"/>
  <c r="G420"/>
  <c r="H420"/>
  <c r="G421"/>
  <c r="H421"/>
  <c r="G422"/>
  <c r="H422"/>
  <c r="G423"/>
  <c r="H423"/>
  <c r="G424"/>
  <c r="H424"/>
  <c r="G425"/>
  <c r="H425"/>
  <c r="N426"/>
  <c r="N427"/>
  <c r="G428"/>
  <c r="H428"/>
  <c r="G429"/>
  <c r="H429"/>
  <c r="G430"/>
  <c r="H430"/>
  <c r="N431"/>
  <c r="N432"/>
  <c r="G433"/>
  <c r="H433"/>
  <c r="G434"/>
  <c r="H434"/>
  <c r="G435"/>
  <c r="H435"/>
  <c r="G436"/>
  <c r="H436"/>
  <c r="G437"/>
  <c r="H437"/>
  <c r="G438"/>
  <c r="H438"/>
  <c r="N439"/>
  <c r="N440"/>
  <c r="G441"/>
  <c r="H441"/>
  <c r="N442"/>
  <c r="N443"/>
  <c r="G444"/>
  <c r="H444"/>
  <c r="G445"/>
  <c r="H445"/>
  <c r="G446"/>
  <c r="H446"/>
  <c r="G447"/>
  <c r="H447"/>
  <c r="G448"/>
  <c r="H448"/>
  <c r="G449"/>
  <c r="H449"/>
  <c r="G450"/>
  <c r="H450"/>
  <c r="N451"/>
  <c r="N452"/>
  <c r="G453"/>
  <c r="H453"/>
  <c r="G454"/>
  <c r="H454"/>
  <c r="N455"/>
  <c r="N456"/>
  <c r="G457"/>
  <c r="H457"/>
  <c r="G458"/>
  <c r="H458"/>
  <c r="G459"/>
  <c r="H459"/>
  <c r="G460"/>
  <c r="H460"/>
  <c r="G461"/>
  <c r="H461"/>
  <c r="G462"/>
  <c r="H462"/>
  <c r="G463"/>
  <c r="H463"/>
  <c r="N464"/>
  <c r="N465"/>
  <c r="G466"/>
  <c r="H466"/>
  <c r="G467"/>
  <c r="H467"/>
  <c r="N468"/>
  <c r="N469"/>
  <c r="N470"/>
  <c r="N471"/>
  <c r="N472"/>
  <c r="N473"/>
  <c r="G474"/>
  <c r="H474"/>
  <c r="G475"/>
  <c r="H475"/>
  <c r="N476"/>
  <c r="N477"/>
  <c r="N478"/>
  <c r="N479"/>
  <c r="G480"/>
  <c r="H480"/>
  <c r="N481"/>
  <c r="N482"/>
  <c r="N483"/>
  <c r="N484"/>
  <c r="G485"/>
  <c r="H485"/>
  <c r="N486"/>
  <c r="N487"/>
  <c r="G488"/>
  <c r="H488"/>
  <c r="N489"/>
  <c r="N490"/>
  <c r="G491"/>
  <c r="H491"/>
  <c r="G492"/>
  <c r="H492"/>
  <c r="G493"/>
  <c r="H493"/>
  <c r="N494"/>
  <c r="N495"/>
  <c r="N496"/>
  <c r="N497"/>
  <c r="G498"/>
  <c r="H498"/>
  <c r="G499"/>
  <c r="H499"/>
  <c r="N500"/>
  <c r="N501"/>
  <c r="G502"/>
  <c r="H502"/>
  <c r="N503"/>
  <c r="N504"/>
  <c r="N505"/>
  <c r="N506"/>
  <c r="N507"/>
  <c r="N508"/>
  <c r="N509"/>
  <c r="N510"/>
  <c r="N511"/>
  <c r="N512"/>
  <c r="N513"/>
  <c r="N514"/>
  <c r="N515"/>
  <c r="N516"/>
  <c r="N517"/>
  <c r="N518"/>
  <c r="N519"/>
  <c r="N520"/>
  <c r="N521"/>
  <c r="N522"/>
  <c r="N523"/>
  <c r="N524"/>
  <c r="N525"/>
  <c r="N526"/>
  <c r="N527"/>
  <c r="N528"/>
  <c r="N529"/>
  <c r="N530"/>
  <c r="N531"/>
  <c r="N532"/>
  <c r="N533"/>
  <c r="N534"/>
  <c r="N535"/>
  <c r="N536"/>
  <c r="N537"/>
  <c r="N538"/>
  <c r="N539"/>
  <c r="N540"/>
  <c r="N541"/>
  <c r="N542"/>
  <c r="N543"/>
  <c r="N544"/>
  <c r="N545"/>
  <c r="N546"/>
  <c r="N547"/>
  <c r="N548"/>
  <c r="N549"/>
  <c r="Y2" i="1"/>
  <c r="AE2"/>
  <c r="AR2" s="1"/>
  <c r="AG2"/>
  <c r="AK2"/>
  <c r="AN2"/>
  <c r="AP2"/>
  <c r="X3"/>
  <c r="Y3"/>
  <c r="AE3"/>
  <c r="AR3" s="1"/>
  <c r="AG3"/>
  <c r="AK3"/>
  <c r="AN3"/>
  <c r="AP3"/>
  <c r="AT3"/>
  <c r="X4"/>
  <c r="Y4"/>
  <c r="AE4"/>
  <c r="AG4"/>
  <c r="AK4"/>
  <c r="AN4"/>
  <c r="AP4"/>
  <c r="AQ4"/>
  <c r="AT4"/>
  <c r="X5"/>
  <c r="Y5"/>
  <c r="AE5"/>
  <c r="AG5"/>
  <c r="AH5"/>
  <c r="AK5"/>
  <c r="AN5"/>
  <c r="AP5"/>
  <c r="AQ5"/>
  <c r="AT5"/>
  <c r="X6"/>
  <c r="Y6"/>
  <c r="AE6"/>
  <c r="AG6"/>
  <c r="AH6"/>
  <c r="AK6"/>
  <c r="AN6"/>
  <c r="AP6"/>
  <c r="AQ6"/>
  <c r="AT6"/>
  <c r="X7"/>
  <c r="AQ7" s="1"/>
  <c r="Y7"/>
  <c r="AE7"/>
  <c r="AG7"/>
  <c r="AH7"/>
  <c r="AN7"/>
  <c r="AP7"/>
  <c r="AT7"/>
  <c r="X8"/>
  <c r="Y8"/>
  <c r="AE8"/>
  <c r="AG8"/>
  <c r="AH8"/>
  <c r="AK8"/>
  <c r="AN8"/>
  <c r="AP8"/>
  <c r="AT8"/>
  <c r="X9"/>
  <c r="Y9"/>
  <c r="AQ9" s="1"/>
  <c r="AE9"/>
  <c r="AG9"/>
  <c r="AH9"/>
  <c r="AK9"/>
  <c r="AT9" s="1"/>
  <c r="AN9"/>
  <c r="AP9"/>
  <c r="X10"/>
  <c r="Y10"/>
  <c r="AE10"/>
  <c r="AG10"/>
  <c r="AH10"/>
  <c r="AK10"/>
  <c r="AN10"/>
  <c r="AP10"/>
  <c r="AT10"/>
  <c r="X11"/>
  <c r="Y11"/>
  <c r="AE11"/>
  <c r="AH11"/>
  <c r="AK11"/>
  <c r="AN11"/>
  <c r="AP11"/>
  <c r="AQ11"/>
  <c r="AT11"/>
  <c r="X12"/>
  <c r="AQ12" s="1"/>
  <c r="Y12"/>
  <c r="AE12"/>
  <c r="AR12" s="1"/>
  <c r="AH12"/>
  <c r="AK12"/>
  <c r="AN12"/>
  <c r="AP12"/>
  <c r="AT12"/>
  <c r="X13"/>
  <c r="Y13"/>
  <c r="AQ13" s="1"/>
  <c r="AE13"/>
  <c r="AG13"/>
  <c r="AR13" s="1"/>
  <c r="AH13"/>
  <c r="AK13"/>
  <c r="AN13"/>
  <c r="AP13"/>
  <c r="AT13"/>
  <c r="X14"/>
  <c r="Y14"/>
  <c r="AE14"/>
  <c r="AH14"/>
  <c r="AK14"/>
  <c r="AN14"/>
  <c r="AP14"/>
  <c r="AQ14"/>
  <c r="AT14"/>
  <c r="X15"/>
  <c r="Y15"/>
  <c r="AE15"/>
  <c r="AG15"/>
  <c r="AH15"/>
  <c r="AK15"/>
  <c r="AN15"/>
  <c r="AP15"/>
  <c r="AQ15"/>
  <c r="AT15"/>
  <c r="X16"/>
  <c r="Y16"/>
  <c r="AE16"/>
  <c r="AG16"/>
  <c r="AH16"/>
  <c r="AK16"/>
  <c r="AN16"/>
  <c r="AP16"/>
  <c r="AQ16"/>
  <c r="AT16"/>
  <c r="X17"/>
  <c r="AQ17" s="1"/>
  <c r="Y17"/>
  <c r="AE17"/>
  <c r="AG17"/>
  <c r="AH17"/>
  <c r="AN17"/>
  <c r="AP17"/>
  <c r="AT17"/>
  <c r="X18"/>
  <c r="Y18"/>
  <c r="AE18"/>
  <c r="AG18"/>
  <c r="AH18"/>
  <c r="AK18"/>
  <c r="AN18"/>
  <c r="AP18"/>
  <c r="AT18"/>
  <c r="X19"/>
  <c r="Y19"/>
  <c r="AE19"/>
  <c r="AH19"/>
  <c r="AK19"/>
  <c r="AN19"/>
  <c r="AP19"/>
  <c r="AQ19"/>
  <c r="AT19"/>
  <c r="X20"/>
  <c r="Y20"/>
  <c r="AE20"/>
  <c r="AG20"/>
  <c r="AH20"/>
  <c r="AK20"/>
  <c r="AN20"/>
  <c r="AP20"/>
  <c r="AQ20"/>
  <c r="AT20"/>
  <c r="X21"/>
  <c r="AQ21" s="1"/>
  <c r="Y21"/>
  <c r="AE21"/>
  <c r="AH21"/>
  <c r="AK21"/>
  <c r="AT21" s="1"/>
  <c r="AN21"/>
  <c r="AP21"/>
  <c r="X22"/>
  <c r="Y22"/>
  <c r="AE22"/>
  <c r="AG22"/>
  <c r="AH22"/>
  <c r="AK22"/>
  <c r="AN22"/>
  <c r="AP22"/>
  <c r="AT22"/>
  <c r="X23"/>
  <c r="Y23"/>
  <c r="AQ23" s="1"/>
  <c r="AE23"/>
  <c r="AG23"/>
  <c r="AH23"/>
  <c r="AK23"/>
  <c r="AT23" s="1"/>
  <c r="AN23"/>
  <c r="AP23"/>
  <c r="X24"/>
  <c r="Y24"/>
  <c r="AE24"/>
  <c r="AG24"/>
  <c r="AH24"/>
  <c r="AK24"/>
  <c r="AN24"/>
  <c r="AP24"/>
  <c r="AT24"/>
  <c r="X25"/>
  <c r="Y25"/>
  <c r="AQ25" s="1"/>
  <c r="AE25"/>
  <c r="AG25"/>
  <c r="AH25"/>
  <c r="AK25"/>
  <c r="AT25" s="1"/>
  <c r="AN25"/>
  <c r="AP25"/>
  <c r="X26"/>
  <c r="Y26"/>
  <c r="AE26"/>
  <c r="AG26"/>
  <c r="AH26"/>
  <c r="AK26"/>
  <c r="AN26"/>
  <c r="AP26"/>
  <c r="AT26"/>
  <c r="X27"/>
  <c r="Y27"/>
  <c r="AE27"/>
  <c r="AG27"/>
  <c r="AH27"/>
  <c r="AN27"/>
  <c r="AP27"/>
  <c r="AQ27"/>
  <c r="AT27"/>
  <c r="X28"/>
  <c r="Y28"/>
  <c r="AE28"/>
  <c r="AG28"/>
  <c r="AH28"/>
  <c r="AK28"/>
  <c r="AN28"/>
  <c r="AP28"/>
  <c r="AQ28"/>
  <c r="AT28"/>
  <c r="X29"/>
  <c r="Y29"/>
  <c r="AE29"/>
  <c r="AG29"/>
  <c r="AH29"/>
  <c r="AK29"/>
  <c r="AN29"/>
  <c r="AP29"/>
  <c r="AQ29"/>
  <c r="AT29"/>
  <c r="X30"/>
  <c r="AQ30" s="1"/>
  <c r="Y30"/>
  <c r="AE30"/>
  <c r="AR30" s="1"/>
  <c r="AG30"/>
  <c r="AH30"/>
  <c r="AN30"/>
  <c r="AP30"/>
  <c r="AT30"/>
  <c r="X31"/>
  <c r="Y31"/>
  <c r="AE31"/>
  <c r="AG31"/>
  <c r="AH31"/>
  <c r="AN31"/>
  <c r="AP31"/>
  <c r="AQ31"/>
  <c r="AT31"/>
  <c r="X32"/>
  <c r="Y32"/>
  <c r="AE32"/>
  <c r="AG32"/>
  <c r="AH32"/>
  <c r="AK32"/>
  <c r="AN32"/>
  <c r="AP32"/>
  <c r="AQ32"/>
  <c r="AT32"/>
  <c r="X33"/>
  <c r="Y33"/>
  <c r="AE33"/>
  <c r="AG33"/>
  <c r="AH33"/>
  <c r="AK33"/>
  <c r="AN33"/>
  <c r="AP33"/>
  <c r="AQ33"/>
  <c r="AT33"/>
  <c r="X34"/>
  <c r="Y34"/>
  <c r="AE34"/>
  <c r="AH34"/>
  <c r="AN34"/>
  <c r="AP34"/>
  <c r="AQ34"/>
  <c r="AT34"/>
  <c r="X35"/>
  <c r="Y35"/>
  <c r="AE35"/>
  <c r="AG35"/>
  <c r="AH35"/>
  <c r="AK35"/>
  <c r="AN35"/>
  <c r="AP35"/>
  <c r="AQ35"/>
  <c r="AT35"/>
  <c r="X36"/>
  <c r="AQ36" s="1"/>
  <c r="Y36"/>
  <c r="AE36"/>
  <c r="AH36"/>
  <c r="AK36"/>
  <c r="AT36" s="1"/>
  <c r="AN36"/>
  <c r="AP36"/>
  <c r="X37"/>
  <c r="Y37"/>
  <c r="AE37"/>
  <c r="AG37"/>
  <c r="AH37"/>
  <c r="AK37"/>
  <c r="AN37"/>
  <c r="AP37"/>
  <c r="AT37"/>
  <c r="X38"/>
  <c r="Y38"/>
  <c r="AQ38" s="1"/>
  <c r="AE38"/>
  <c r="AG38"/>
  <c r="AH38"/>
  <c r="AK38"/>
  <c r="AT38" s="1"/>
  <c r="AN38"/>
  <c r="AP38"/>
  <c r="X39"/>
  <c r="Y39"/>
  <c r="AE39"/>
  <c r="AG39"/>
  <c r="AH39"/>
  <c r="AK39"/>
  <c r="AN39"/>
  <c r="AP39"/>
  <c r="AT39"/>
  <c r="X40"/>
  <c r="Y40"/>
  <c r="AQ40" s="1"/>
  <c r="AE40"/>
  <c r="AG40"/>
  <c r="AH40"/>
  <c r="AK40"/>
  <c r="AT40" s="1"/>
  <c r="AN40"/>
  <c r="AP40"/>
  <c r="X41"/>
  <c r="Y41"/>
  <c r="AE41"/>
  <c r="AG41"/>
  <c r="AH41"/>
  <c r="AK41"/>
  <c r="AN41"/>
  <c r="AP41"/>
  <c r="AT41"/>
  <c r="X42"/>
  <c r="Y42"/>
  <c r="AQ42" s="1"/>
  <c r="AE42"/>
  <c r="AG42"/>
  <c r="AH42"/>
  <c r="AK42"/>
  <c r="AT42" s="1"/>
  <c r="AN42"/>
  <c r="AP42"/>
  <c r="X43"/>
  <c r="Y43"/>
  <c r="AE43"/>
  <c r="AG43"/>
  <c r="AH43"/>
  <c r="AK43"/>
  <c r="AN43"/>
  <c r="AP43"/>
  <c r="AT43"/>
  <c r="X44"/>
  <c r="Y44"/>
  <c r="AE44"/>
  <c r="AH44"/>
  <c r="AK44"/>
  <c r="AN44"/>
  <c r="AP44"/>
  <c r="AQ44"/>
  <c r="AT44"/>
  <c r="X45"/>
  <c r="Y45"/>
  <c r="AE45"/>
  <c r="AG45"/>
  <c r="AH45"/>
  <c r="AK45"/>
  <c r="AN45"/>
  <c r="AP45"/>
  <c r="AQ45"/>
  <c r="AT45"/>
  <c r="X46"/>
  <c r="Y46"/>
  <c r="AE46"/>
  <c r="AG46"/>
  <c r="AH46"/>
  <c r="AK46"/>
  <c r="AN46"/>
  <c r="AP46"/>
  <c r="AQ46"/>
  <c r="AT46"/>
  <c r="X47"/>
  <c r="Y47"/>
  <c r="AE47"/>
  <c r="AG47"/>
  <c r="AH47"/>
  <c r="AK47"/>
  <c r="AN47"/>
  <c r="AP47"/>
  <c r="AQ47"/>
  <c r="AT47"/>
  <c r="X48"/>
  <c r="Y48"/>
  <c r="AE48"/>
  <c r="AH48"/>
  <c r="AN48"/>
  <c r="AP48"/>
  <c r="AQ48"/>
  <c r="AT48"/>
  <c r="X49"/>
  <c r="AQ49" s="1"/>
  <c r="Y49"/>
  <c r="AE49"/>
  <c r="AR49" s="1"/>
  <c r="AH49"/>
  <c r="AK49"/>
  <c r="AN49"/>
  <c r="AP49"/>
  <c r="AT49"/>
  <c r="X50"/>
  <c r="Y50"/>
  <c r="AQ50" s="1"/>
  <c r="AE50"/>
  <c r="AG50"/>
  <c r="AR50" s="1"/>
  <c r="AH50"/>
  <c r="AK50"/>
  <c r="AN50"/>
  <c r="AP50"/>
  <c r="AT50"/>
  <c r="X51"/>
  <c r="Y51"/>
  <c r="AQ51" s="1"/>
  <c r="AE51"/>
  <c r="AH51"/>
  <c r="AR51" s="1"/>
  <c r="AN51"/>
  <c r="AP51"/>
  <c r="AT51"/>
  <c r="X52"/>
  <c r="Y52"/>
  <c r="AQ52" s="1"/>
  <c r="AE52"/>
  <c r="AH52"/>
  <c r="AR52" s="1"/>
  <c r="AN52"/>
  <c r="AP52"/>
  <c r="AT52"/>
  <c r="X53"/>
  <c r="Y53"/>
  <c r="AQ53" s="1"/>
  <c r="AE53"/>
  <c r="AG53"/>
  <c r="AH53"/>
  <c r="AK53"/>
  <c r="AT53" s="1"/>
  <c r="AN53"/>
  <c r="AP53"/>
  <c r="X54"/>
  <c r="Y54"/>
  <c r="AQ54" s="1"/>
  <c r="AE54"/>
  <c r="AG54"/>
  <c r="AH54"/>
  <c r="AK54"/>
  <c r="AT54" s="1"/>
  <c r="AN54"/>
  <c r="AP54"/>
  <c r="X55"/>
  <c r="Y55"/>
  <c r="AQ55" s="1"/>
  <c r="AE55"/>
  <c r="AG55"/>
  <c r="AH55"/>
  <c r="AK55"/>
  <c r="AN55"/>
  <c r="AP55"/>
  <c r="AT55"/>
  <c r="X56"/>
  <c r="Y56"/>
  <c r="AE56"/>
  <c r="AH56"/>
  <c r="AK56"/>
  <c r="AN56"/>
  <c r="AP56"/>
  <c r="AQ56"/>
  <c r="AT56"/>
  <c r="X57"/>
  <c r="AQ57" s="1"/>
  <c r="Y57"/>
  <c r="AE57"/>
  <c r="AH57"/>
  <c r="AK57"/>
  <c r="AT57" s="1"/>
  <c r="AN57"/>
  <c r="AP57"/>
  <c r="X58"/>
  <c r="Y58"/>
  <c r="AE58"/>
  <c r="AG58"/>
  <c r="AH58"/>
  <c r="AK58"/>
  <c r="AN58"/>
  <c r="AP58"/>
  <c r="AT58"/>
  <c r="X59"/>
  <c r="Y59"/>
  <c r="AQ59" s="1"/>
  <c r="AE59"/>
  <c r="AG59"/>
  <c r="AH59"/>
  <c r="AK59"/>
  <c r="AT59" s="1"/>
  <c r="AN59"/>
  <c r="AP59"/>
  <c r="X60"/>
  <c r="Y60"/>
  <c r="AE60"/>
  <c r="AG60"/>
  <c r="AH60"/>
  <c r="AK60"/>
  <c r="AN60"/>
  <c r="AP60"/>
  <c r="AT60"/>
  <c r="X61"/>
  <c r="Y61"/>
  <c r="AQ61" s="1"/>
  <c r="AE61"/>
  <c r="AG61"/>
  <c r="AH61"/>
  <c r="AK61"/>
  <c r="AT61" s="1"/>
  <c r="AN61"/>
  <c r="AP61"/>
  <c r="X62"/>
  <c r="Y62"/>
  <c r="AE62"/>
  <c r="AG62"/>
  <c r="AH62"/>
  <c r="AK62"/>
  <c r="AN62"/>
  <c r="AP62"/>
  <c r="AT62"/>
  <c r="X63"/>
  <c r="Y63"/>
  <c r="AQ63" s="1"/>
  <c r="AE63"/>
  <c r="AG63"/>
  <c r="AH63"/>
  <c r="AK63"/>
  <c r="AT63" s="1"/>
  <c r="AN63"/>
  <c r="AP63"/>
  <c r="X64"/>
  <c r="Y64"/>
  <c r="AE64"/>
  <c r="AG64"/>
  <c r="AH64"/>
  <c r="AK64"/>
  <c r="AN64"/>
  <c r="AP64"/>
  <c r="AT64"/>
  <c r="X65"/>
  <c r="Y65"/>
  <c r="AQ65" s="1"/>
  <c r="AE65"/>
  <c r="AG65"/>
  <c r="AH65"/>
  <c r="AK65"/>
  <c r="AT65" s="1"/>
  <c r="AN65"/>
  <c r="AP65"/>
  <c r="X66"/>
  <c r="Y66"/>
  <c r="AE66"/>
  <c r="AG66"/>
  <c r="AH66"/>
  <c r="AK66"/>
  <c r="AN66"/>
  <c r="AP66"/>
  <c r="AT66"/>
  <c r="X67"/>
  <c r="Y67"/>
  <c r="AQ67" s="1"/>
  <c r="AE67"/>
  <c r="AG67"/>
  <c r="AH67"/>
  <c r="AK67"/>
  <c r="AT67" s="1"/>
  <c r="AN67"/>
  <c r="AP67"/>
  <c r="X68"/>
  <c r="Y68"/>
  <c r="AE68"/>
  <c r="AG68"/>
  <c r="AH68"/>
  <c r="AK68"/>
  <c r="AN68"/>
  <c r="AP68"/>
  <c r="AT68"/>
  <c r="X69"/>
  <c r="Y69"/>
  <c r="AQ69" s="1"/>
  <c r="AE69"/>
  <c r="AG69"/>
  <c r="AH69"/>
  <c r="AK69"/>
  <c r="AT69" s="1"/>
  <c r="AN69"/>
  <c r="AP69"/>
  <c r="X70"/>
  <c r="Y70"/>
  <c r="AE70"/>
  <c r="AG70"/>
  <c r="AH70"/>
  <c r="AK70"/>
  <c r="AN70"/>
  <c r="AP70"/>
  <c r="AT70"/>
  <c r="X71"/>
  <c r="Y71"/>
  <c r="AQ71" s="1"/>
  <c r="AE71"/>
  <c r="AG71"/>
  <c r="AH71"/>
  <c r="AK71"/>
  <c r="AT71" s="1"/>
  <c r="AN71"/>
  <c r="AP71"/>
  <c r="X72"/>
  <c r="Y72"/>
  <c r="AE72"/>
  <c r="AG72"/>
  <c r="AH72"/>
  <c r="AK72"/>
  <c r="AN72"/>
  <c r="AP72"/>
  <c r="AT72"/>
  <c r="X73"/>
  <c r="Y73"/>
  <c r="AQ73" s="1"/>
  <c r="AE73"/>
  <c r="AG73"/>
  <c r="AH73"/>
  <c r="AK73"/>
  <c r="AT73" s="1"/>
  <c r="AN73"/>
  <c r="AP73"/>
  <c r="X74"/>
  <c r="Y74"/>
  <c r="AE74"/>
  <c r="AG74"/>
  <c r="AH74"/>
  <c r="AK74"/>
  <c r="AN74"/>
  <c r="AP74"/>
  <c r="AT74"/>
  <c r="X75"/>
  <c r="Y75"/>
  <c r="AQ75" s="1"/>
  <c r="AE75"/>
  <c r="AG75"/>
  <c r="AH75"/>
  <c r="AK75"/>
  <c r="AT75" s="1"/>
  <c r="AN75"/>
  <c r="AP75"/>
  <c r="X76"/>
  <c r="Y76"/>
  <c r="AE76"/>
  <c r="AG76"/>
  <c r="AH76"/>
  <c r="AK76"/>
  <c r="AN76"/>
  <c r="AP76"/>
  <c r="AT76"/>
  <c r="X77"/>
  <c r="Y77"/>
  <c r="AQ77" s="1"/>
  <c r="AE77"/>
  <c r="AG77"/>
  <c r="AH77"/>
  <c r="AK77"/>
  <c r="AT77" s="1"/>
  <c r="AN77"/>
  <c r="AP77"/>
  <c r="X78"/>
  <c r="Y78"/>
  <c r="AE78"/>
  <c r="AG78"/>
  <c r="AH78"/>
  <c r="AK78"/>
  <c r="AN78"/>
  <c r="AP78"/>
  <c r="AT78"/>
  <c r="X79"/>
  <c r="Y79"/>
  <c r="AQ79" s="1"/>
  <c r="AE79"/>
  <c r="AG79"/>
  <c r="AH79"/>
  <c r="AK79"/>
  <c r="AT79" s="1"/>
  <c r="AN79"/>
  <c r="AP79"/>
  <c r="X80"/>
  <c r="Y80"/>
  <c r="AE80"/>
  <c r="AH80"/>
  <c r="AN80"/>
  <c r="AP80"/>
  <c r="AT80"/>
  <c r="X81"/>
  <c r="Y81"/>
  <c r="AQ81" s="1"/>
  <c r="AE81"/>
  <c r="AH81"/>
  <c r="AR81" s="1"/>
  <c r="AN81"/>
  <c r="AP81"/>
  <c r="AT81"/>
  <c r="X82"/>
  <c r="Y82"/>
  <c r="AE82"/>
  <c r="AG82"/>
  <c r="AH82"/>
  <c r="AK82"/>
  <c r="AN82"/>
  <c r="AP82"/>
  <c r="AT82"/>
  <c r="X83"/>
  <c r="Y83"/>
  <c r="AQ83" s="1"/>
  <c r="AE83"/>
  <c r="AH83"/>
  <c r="AR83" s="1"/>
  <c r="AN83"/>
  <c r="AP83"/>
  <c r="AT83"/>
  <c r="X84"/>
  <c r="AQ84" s="1"/>
  <c r="Y84"/>
  <c r="AE84"/>
  <c r="AH84"/>
  <c r="AK84"/>
  <c r="AT84" s="1"/>
  <c r="AN84"/>
  <c r="AP84"/>
  <c r="X85"/>
  <c r="Y85"/>
  <c r="AE85"/>
  <c r="AH85"/>
  <c r="AK85"/>
  <c r="AN85"/>
  <c r="AP85"/>
  <c r="AR85"/>
  <c r="AT85"/>
  <c r="X86"/>
  <c r="AQ86" s="1"/>
  <c r="Y86"/>
  <c r="AE86"/>
  <c r="AH86"/>
  <c r="AK86"/>
  <c r="AN86"/>
  <c r="AP86"/>
  <c r="AT86"/>
  <c r="X87"/>
  <c r="Y87"/>
  <c r="AE87"/>
  <c r="AH87"/>
  <c r="AK87"/>
  <c r="AN87"/>
  <c r="AP87"/>
  <c r="AT87"/>
  <c r="X88"/>
  <c r="Y88"/>
  <c r="AE88"/>
  <c r="AH88"/>
  <c r="AK88"/>
  <c r="AN88"/>
  <c r="AP88"/>
  <c r="AQ88"/>
  <c r="AT88"/>
  <c r="X89"/>
  <c r="AQ89" s="1"/>
  <c r="Y89"/>
  <c r="AE89"/>
  <c r="AH89"/>
  <c r="AK89"/>
  <c r="AT89" s="1"/>
  <c r="AN89"/>
  <c r="AP89"/>
  <c r="X90"/>
  <c r="Y90"/>
  <c r="AE90"/>
  <c r="AH90"/>
  <c r="AK90"/>
  <c r="AN90"/>
  <c r="AP90"/>
  <c r="AQ90"/>
  <c r="AT90"/>
  <c r="X91"/>
  <c r="AQ91" s="1"/>
  <c r="Y91"/>
  <c r="AE91"/>
  <c r="AH91"/>
  <c r="AK91"/>
  <c r="AT91" s="1"/>
  <c r="AN91"/>
  <c r="AP91"/>
  <c r="X92"/>
  <c r="AQ92" s="1"/>
  <c r="Y92"/>
  <c r="AE92"/>
  <c r="AH92"/>
  <c r="AK92"/>
  <c r="AT92" s="1"/>
  <c r="AN92"/>
  <c r="AP92"/>
  <c r="X93"/>
  <c r="Y93"/>
  <c r="AE93"/>
  <c r="AH93"/>
  <c r="AK93"/>
  <c r="AN93"/>
  <c r="AP93"/>
  <c r="AR93"/>
  <c r="AT93"/>
  <c r="X94"/>
  <c r="AQ94" s="1"/>
  <c r="Y94"/>
  <c r="AE94"/>
  <c r="AH94"/>
  <c r="AK94"/>
  <c r="AN94"/>
  <c r="AP94"/>
  <c r="AT94"/>
  <c r="X95"/>
  <c r="Y95"/>
  <c r="AE95"/>
  <c r="AH95"/>
  <c r="AK95"/>
  <c r="AN95"/>
  <c r="AP95"/>
  <c r="AT95"/>
  <c r="X96"/>
  <c r="Y96"/>
  <c r="AE96"/>
  <c r="AH96"/>
  <c r="AK96"/>
  <c r="AN96"/>
  <c r="AP96"/>
  <c r="AQ96"/>
  <c r="AT96"/>
  <c r="X97"/>
  <c r="AQ97" s="1"/>
  <c r="Y97"/>
  <c r="AE97"/>
  <c r="AH97"/>
  <c r="AK97"/>
  <c r="AT97" s="1"/>
  <c r="AN97"/>
  <c r="AP97"/>
  <c r="X98"/>
  <c r="Y98"/>
  <c r="AE98"/>
  <c r="AH98"/>
  <c r="AK98"/>
  <c r="AN98"/>
  <c r="AP98"/>
  <c r="AQ98"/>
  <c r="AT98"/>
  <c r="X99"/>
  <c r="AQ99" s="1"/>
  <c r="Y99"/>
  <c r="AE99"/>
  <c r="AH99"/>
  <c r="AK99"/>
  <c r="AT99" s="1"/>
  <c r="AN99"/>
  <c r="AP99"/>
  <c r="X100"/>
  <c r="AQ100" s="1"/>
  <c r="Y100"/>
  <c r="AE100"/>
  <c r="AH100"/>
  <c r="AK100"/>
  <c r="AT100" s="1"/>
  <c r="AN100"/>
  <c r="AP100"/>
  <c r="X101"/>
  <c r="Y101"/>
  <c r="AE101"/>
  <c r="AH101"/>
  <c r="AK101"/>
  <c r="AN101"/>
  <c r="AP101"/>
  <c r="AR101"/>
  <c r="AT101"/>
  <c r="X102"/>
  <c r="AQ102" s="1"/>
  <c r="Y102"/>
  <c r="AE102"/>
  <c r="AH102"/>
  <c r="AK102"/>
  <c r="AN102"/>
  <c r="AP102"/>
  <c r="AT102"/>
  <c r="X103"/>
  <c r="Y103"/>
  <c r="AE103"/>
  <c r="AH103"/>
  <c r="AK103"/>
  <c r="AN103"/>
  <c r="AP103"/>
  <c r="AT103"/>
  <c r="X104"/>
  <c r="Y104"/>
  <c r="AE104"/>
  <c r="AH104"/>
  <c r="AK104"/>
  <c r="AN104"/>
  <c r="AP104"/>
  <c r="AQ104"/>
  <c r="AT104"/>
  <c r="X105"/>
  <c r="AQ105" s="1"/>
  <c r="Y105"/>
  <c r="AE105"/>
  <c r="AH105"/>
  <c r="AK105"/>
  <c r="AT105" s="1"/>
  <c r="AN105"/>
  <c r="AP105"/>
  <c r="X106"/>
  <c r="Y106"/>
  <c r="AE106"/>
  <c r="AH106"/>
  <c r="AK106"/>
  <c r="AN106"/>
  <c r="AP106"/>
  <c r="AQ106"/>
  <c r="AT106"/>
  <c r="X107"/>
  <c r="AQ107" s="1"/>
  <c r="Y107"/>
  <c r="AE107"/>
  <c r="AH107"/>
  <c r="AK107"/>
  <c r="AT107" s="1"/>
  <c r="AN107"/>
  <c r="AP107"/>
  <c r="X108"/>
  <c r="AQ108" s="1"/>
  <c r="Y108"/>
  <c r="AE108"/>
  <c r="AH108"/>
  <c r="AK108"/>
  <c r="AT108" s="1"/>
  <c r="AN108"/>
  <c r="AP108"/>
  <c r="X109"/>
  <c r="Y109"/>
  <c r="AE109"/>
  <c r="AH109"/>
  <c r="AK109"/>
  <c r="AN109"/>
  <c r="AP109"/>
  <c r="AR109"/>
  <c r="AT109"/>
  <c r="X110"/>
  <c r="AQ110" s="1"/>
  <c r="Y110"/>
  <c r="AE110"/>
  <c r="AH110"/>
  <c r="AK110"/>
  <c r="AN110"/>
  <c r="AP110"/>
  <c r="AT110"/>
  <c r="X111"/>
  <c r="Y111"/>
  <c r="AE111"/>
  <c r="AH111"/>
  <c r="AK111"/>
  <c r="AN111"/>
  <c r="AP111"/>
  <c r="AQ111"/>
  <c r="AT111"/>
  <c r="X112"/>
  <c r="AQ112" s="1"/>
  <c r="Y112"/>
  <c r="AE112"/>
  <c r="AH112"/>
  <c r="AK112"/>
  <c r="AT112" s="1"/>
  <c r="AN112"/>
  <c r="AP112"/>
  <c r="X113"/>
  <c r="Y113"/>
  <c r="AQ113" s="1"/>
  <c r="AE113"/>
  <c r="AH113"/>
  <c r="AR113" s="1"/>
  <c r="AN113"/>
  <c r="AP113"/>
  <c r="AS113" s="1"/>
  <c r="AT113"/>
  <c r="X114"/>
  <c r="Y114"/>
  <c r="AE114"/>
  <c r="AH114"/>
  <c r="AK114"/>
  <c r="AN114"/>
  <c r="AP114"/>
  <c r="AQ114"/>
  <c r="AT114"/>
  <c r="X115"/>
  <c r="AQ115" s="1"/>
  <c r="Y115"/>
  <c r="AE115"/>
  <c r="AH115"/>
  <c r="AK115"/>
  <c r="AT115" s="1"/>
  <c r="AN115"/>
  <c r="AP115"/>
  <c r="X116"/>
  <c r="Y116"/>
  <c r="AE116"/>
  <c r="AH116"/>
  <c r="AK116"/>
  <c r="AN116"/>
  <c r="AP116"/>
  <c r="AQ116"/>
  <c r="AT116"/>
  <c r="X117"/>
  <c r="AQ117" s="1"/>
  <c r="Y117"/>
  <c r="AE117"/>
  <c r="AH117"/>
  <c r="AK117"/>
  <c r="AN117"/>
  <c r="AP117"/>
  <c r="AT117"/>
  <c r="X118"/>
  <c r="AQ118" s="1"/>
  <c r="Y118"/>
  <c r="AE118"/>
  <c r="AH118"/>
  <c r="AK118"/>
  <c r="AN118"/>
  <c r="AP118"/>
  <c r="AT118"/>
  <c r="X119"/>
  <c r="Y119"/>
  <c r="AE119"/>
  <c r="AH119"/>
  <c r="AN119"/>
  <c r="AP119"/>
  <c r="AQ119"/>
  <c r="AT119"/>
  <c r="AD33" i="2"/>
  <c r="AH33"/>
  <c r="AR117" i="1" l="1"/>
  <c r="AS117" s="1"/>
  <c r="AR116"/>
  <c r="AS116" s="1"/>
  <c r="AS110"/>
  <c r="AR110"/>
  <c r="AR107"/>
  <c r="AR99"/>
  <c r="AR91"/>
  <c r="AR79"/>
  <c r="AR75"/>
  <c r="AR71"/>
  <c r="AR67"/>
  <c r="AR63"/>
  <c r="AR59"/>
  <c r="AR55"/>
  <c r="AR53"/>
  <c r="AR119"/>
  <c r="AS119" s="1"/>
  <c r="AR118"/>
  <c r="AS118" s="1"/>
  <c r="AR115"/>
  <c r="AS115" s="1"/>
  <c r="AR114"/>
  <c r="AS114" s="1"/>
  <c r="AS112"/>
  <c r="AR112"/>
  <c r="AR111"/>
  <c r="AS111" s="1"/>
  <c r="AR105"/>
  <c r="AR97"/>
  <c r="AR89"/>
  <c r="AR77"/>
  <c r="AR73"/>
  <c r="AR69"/>
  <c r="AR65"/>
  <c r="AR61"/>
  <c r="AR57"/>
  <c r="AR54"/>
  <c r="AS54" s="1"/>
  <c r="AR42"/>
  <c r="AR40"/>
  <c r="AR38"/>
  <c r="AR36"/>
  <c r="AR25"/>
  <c r="AR23"/>
  <c r="AR21"/>
  <c r="AR17"/>
  <c r="AR9"/>
  <c r="AR7"/>
  <c r="AQ109"/>
  <c r="AR103"/>
  <c r="AQ103"/>
  <c r="AQ101"/>
  <c r="AR95"/>
  <c r="AQ95"/>
  <c r="AQ93"/>
  <c r="AR87"/>
  <c r="AQ87"/>
  <c r="AQ85"/>
  <c r="AR82"/>
  <c r="AQ82"/>
  <c r="AS82" s="1"/>
  <c r="AR80"/>
  <c r="AQ80"/>
  <c r="AS80" s="1"/>
  <c r="AR78"/>
  <c r="AQ78"/>
  <c r="AS78" s="1"/>
  <c r="AR76"/>
  <c r="AQ76"/>
  <c r="AS76" s="1"/>
  <c r="AR74"/>
  <c r="AQ74"/>
  <c r="AS74" s="1"/>
  <c r="AR72"/>
  <c r="AQ72"/>
  <c r="AS72" s="1"/>
  <c r="AR70"/>
  <c r="AQ70"/>
  <c r="AS70" s="1"/>
  <c r="AR68"/>
  <c r="AQ68"/>
  <c r="AS68" s="1"/>
  <c r="AR66"/>
  <c r="AQ66"/>
  <c r="AS66" s="1"/>
  <c r="AR64"/>
  <c r="AQ64"/>
  <c r="AS64" s="1"/>
  <c r="AR62"/>
  <c r="AQ62"/>
  <c r="AS62" s="1"/>
  <c r="AR60"/>
  <c r="AQ60"/>
  <c r="AS60" s="1"/>
  <c r="AR58"/>
  <c r="AQ58"/>
  <c r="AS58" s="1"/>
  <c r="AR43"/>
  <c r="AQ43"/>
  <c r="AR41"/>
  <c r="AQ41"/>
  <c r="AR39"/>
  <c r="AQ39"/>
  <c r="AR37"/>
  <c r="AQ37"/>
  <c r="AR26"/>
  <c r="AQ26"/>
  <c r="AR24"/>
  <c r="AQ24"/>
  <c r="AR22"/>
  <c r="AQ22"/>
  <c r="AR18"/>
  <c r="AQ18"/>
  <c r="AS18" s="1"/>
  <c r="AR10"/>
  <c r="AQ10"/>
  <c r="AS10" s="1"/>
  <c r="AR8"/>
  <c r="AQ8"/>
  <c r="AS8" s="1"/>
  <c r="I502" i="4"/>
  <c r="N502" s="1"/>
  <c r="I499"/>
  <c r="N499" s="1"/>
  <c r="I498"/>
  <c r="N498" s="1"/>
  <c r="I493"/>
  <c r="N493" s="1"/>
  <c r="I492"/>
  <c r="N492" s="1"/>
  <c r="I491"/>
  <c r="N491" s="1"/>
  <c r="I488"/>
  <c r="N488" s="1"/>
  <c r="I485"/>
  <c r="N485" s="1"/>
  <c r="I480"/>
  <c r="N480" s="1"/>
  <c r="I475"/>
  <c r="N475" s="1"/>
  <c r="I474"/>
  <c r="N474" s="1"/>
  <c r="I467"/>
  <c r="N467" s="1"/>
  <c r="I466"/>
  <c r="N466" s="1"/>
  <c r="I463"/>
  <c r="N463" s="1"/>
  <c r="I462"/>
  <c r="N462" s="1"/>
  <c r="I461"/>
  <c r="N461" s="1"/>
  <c r="I460"/>
  <c r="N460" s="1"/>
  <c r="I459"/>
  <c r="N459" s="1"/>
  <c r="I458"/>
  <c r="N458" s="1"/>
  <c r="I457"/>
  <c r="N457" s="1"/>
  <c r="I454"/>
  <c r="N454" s="1"/>
  <c r="I453"/>
  <c r="N453" s="1"/>
  <c r="I450"/>
  <c r="N450" s="1"/>
  <c r="I449"/>
  <c r="N449" s="1"/>
  <c r="I448"/>
  <c r="N448" s="1"/>
  <c r="I447"/>
  <c r="N447" s="1"/>
  <c r="I446"/>
  <c r="N446" s="1"/>
  <c r="I445"/>
  <c r="N445" s="1"/>
  <c r="I444"/>
  <c r="N444" s="1"/>
  <c r="I441"/>
  <c r="N441" s="1"/>
  <c r="I438"/>
  <c r="N438" s="1"/>
  <c r="I437"/>
  <c r="N437" s="1"/>
  <c r="I436"/>
  <c r="N436" s="1"/>
  <c r="I435"/>
  <c r="N435" s="1"/>
  <c r="I434"/>
  <c r="N434" s="1"/>
  <c r="I433"/>
  <c r="N433" s="1"/>
  <c r="I430"/>
  <c r="N430" s="1"/>
  <c r="I429"/>
  <c r="N429" s="1"/>
  <c r="I428"/>
  <c r="N428" s="1"/>
  <c r="I425"/>
  <c r="N425" s="1"/>
  <c r="I424"/>
  <c r="N424" s="1"/>
  <c r="I423"/>
  <c r="N423" s="1"/>
  <c r="I422"/>
  <c r="N422" s="1"/>
  <c r="I421"/>
  <c r="N421" s="1"/>
  <c r="I420"/>
  <c r="N420" s="1"/>
  <c r="I419"/>
  <c r="N419" s="1"/>
  <c r="I416"/>
  <c r="N416" s="1"/>
  <c r="I415"/>
  <c r="N415" s="1"/>
  <c r="I412"/>
  <c r="N412" s="1"/>
  <c r="I411"/>
  <c r="N411" s="1"/>
  <c r="I410"/>
  <c r="N410" s="1"/>
  <c r="I409"/>
  <c r="N409" s="1"/>
  <c r="I408"/>
  <c r="N408" s="1"/>
  <c r="I405"/>
  <c r="N405" s="1"/>
  <c r="I404"/>
  <c r="N404" s="1"/>
  <c r="I399"/>
  <c r="N399" s="1"/>
  <c r="I398"/>
  <c r="N398" s="1"/>
  <c r="I393"/>
  <c r="N393" s="1"/>
  <c r="I392"/>
  <c r="N392" s="1"/>
  <c r="I387"/>
  <c r="N387" s="1"/>
  <c r="I386"/>
  <c r="N386" s="1"/>
  <c r="I383"/>
  <c r="N383" s="1"/>
  <c r="I380"/>
  <c r="N380" s="1"/>
  <c r="I375"/>
  <c r="N375" s="1"/>
  <c r="I374"/>
  <c r="N374" s="1"/>
  <c r="I369"/>
  <c r="N369" s="1"/>
  <c r="I366"/>
  <c r="N366" s="1"/>
  <c r="I363"/>
  <c r="N363" s="1"/>
  <c r="I362"/>
  <c r="N362" s="1"/>
  <c r="I357"/>
  <c r="N357" s="1"/>
  <c r="I354"/>
  <c r="N354" s="1"/>
  <c r="I351"/>
  <c r="N351" s="1"/>
  <c r="I350"/>
  <c r="N350" s="1"/>
  <c r="I345"/>
  <c r="N345" s="1"/>
  <c r="I344"/>
  <c r="N344" s="1"/>
  <c r="AQ3" i="1"/>
  <c r="AS3" s="1"/>
  <c r="X2"/>
  <c r="AQ2" s="1"/>
  <c r="AS109"/>
  <c r="AR106"/>
  <c r="AS106" s="1"/>
  <c r="AS105"/>
  <c r="AR102"/>
  <c r="AS102" s="1"/>
  <c r="AS101"/>
  <c r="AR98"/>
  <c r="AS98" s="1"/>
  <c r="AS97"/>
  <c r="AR94"/>
  <c r="AS94" s="1"/>
  <c r="AS93"/>
  <c r="AR90"/>
  <c r="AS90" s="1"/>
  <c r="AS89"/>
  <c r="AR86"/>
  <c r="AS86" s="1"/>
  <c r="AS85"/>
  <c r="AR56"/>
  <c r="AS56" s="1"/>
  <c r="AS55"/>
  <c r="AS53"/>
  <c r="AS52"/>
  <c r="AS51"/>
  <c r="AS50"/>
  <c r="AS49"/>
  <c r="AR47"/>
  <c r="AS47" s="1"/>
  <c r="AR45"/>
  <c r="AS45" s="1"/>
  <c r="AR35"/>
  <c r="AS35" s="1"/>
  <c r="AR33"/>
  <c r="AS33" s="1"/>
  <c r="AR31"/>
  <c r="AS31" s="1"/>
  <c r="AS30"/>
  <c r="AR28"/>
  <c r="AS28" s="1"/>
  <c r="AR20"/>
  <c r="AS20" s="1"/>
  <c r="AR16"/>
  <c r="AS16" s="1"/>
  <c r="AR14"/>
  <c r="AS14" s="1"/>
  <c r="AS13"/>
  <c r="AS12"/>
  <c r="AR6"/>
  <c r="AS6" s="1"/>
  <c r="AR4"/>
  <c r="AS4" s="1"/>
  <c r="AS2"/>
  <c r="AR108"/>
  <c r="AS108" s="1"/>
  <c r="AS107"/>
  <c r="AR104"/>
  <c r="AS104" s="1"/>
  <c r="AS103"/>
  <c r="AR100"/>
  <c r="AS100" s="1"/>
  <c r="AS99"/>
  <c r="AR96"/>
  <c r="AS96" s="1"/>
  <c r="AS95"/>
  <c r="AR92"/>
  <c r="AS92" s="1"/>
  <c r="AS91"/>
  <c r="AR88"/>
  <c r="AS88" s="1"/>
  <c r="AS87"/>
  <c r="AR84"/>
  <c r="AS84" s="1"/>
  <c r="AS83"/>
  <c r="AS81"/>
  <c r="AS79"/>
  <c r="AS77"/>
  <c r="AS75"/>
  <c r="AS73"/>
  <c r="AS71"/>
  <c r="AS69"/>
  <c r="AS67"/>
  <c r="AS65"/>
  <c r="AS63"/>
  <c r="AS61"/>
  <c r="AS59"/>
  <c r="AS57"/>
  <c r="AR48"/>
  <c r="AS48" s="1"/>
  <c r="AR46"/>
  <c r="AS46" s="1"/>
  <c r="AR44"/>
  <c r="AS44" s="1"/>
  <c r="AS43"/>
  <c r="AS42"/>
  <c r="AS41"/>
  <c r="AS40"/>
  <c r="AS39"/>
  <c r="AS38"/>
  <c r="AS37"/>
  <c r="AS36"/>
  <c r="AR34"/>
  <c r="AS34" s="1"/>
  <c r="AR32"/>
  <c r="AS32" s="1"/>
  <c r="AR29"/>
  <c r="AS29" s="1"/>
  <c r="AR27"/>
  <c r="AS27" s="1"/>
  <c r="AS26"/>
  <c r="AS25"/>
  <c r="AS24"/>
  <c r="AS23"/>
  <c r="AS22"/>
  <c r="AS21"/>
  <c r="AR19"/>
  <c r="AS19" s="1"/>
  <c r="AS17"/>
  <c r="AR15"/>
  <c r="AS15" s="1"/>
  <c r="AR11"/>
  <c r="AS11" s="1"/>
  <c r="AS9"/>
  <c r="AS7"/>
  <c r="AR5"/>
  <c r="AS5" s="1"/>
  <c r="B2" i="2"/>
  <c r="E21"/>
  <c r="C2"/>
  <c r="W28"/>
  <c r="AK2"/>
  <c r="AL2"/>
  <c r="T37"/>
  <c r="K21"/>
  <c r="B3"/>
  <c r="J21"/>
  <c r="C3"/>
  <c r="AC28"/>
  <c r="AK4"/>
  <c r="B6"/>
  <c r="AJ12"/>
  <c r="V23"/>
  <c r="K18"/>
  <c r="W31"/>
  <c r="R18"/>
  <c r="AC23"/>
  <c r="T44"/>
  <c r="Y26"/>
  <c r="C13"/>
  <c r="Z23"/>
  <c r="S18"/>
  <c r="AA31"/>
  <c r="Z18"/>
  <c r="I24"/>
  <c r="AH9"/>
  <c r="H22"/>
  <c r="B12"/>
  <c r="AB14"/>
  <c r="J24"/>
  <c r="W19"/>
  <c r="K32"/>
  <c r="AD19"/>
  <c r="AI26"/>
  <c r="P45"/>
  <c r="AK27"/>
  <c r="AF14"/>
  <c r="N24"/>
  <c r="AE19"/>
  <c r="O32"/>
  <c r="AL19"/>
  <c r="O27"/>
  <c r="C19"/>
  <c r="H27"/>
  <c r="AK24"/>
  <c r="D35"/>
  <c r="M25"/>
  <c r="I33"/>
  <c r="D17"/>
  <c r="L31"/>
  <c r="H19"/>
  <c r="L27"/>
  <c r="O25"/>
  <c r="M35"/>
  <c r="AC25"/>
  <c r="Q33"/>
  <c r="I28"/>
  <c r="G27"/>
  <c r="AL18"/>
  <c r="G23"/>
  <c r="AI24"/>
  <c r="AI8"/>
  <c r="AL21"/>
  <c r="B11"/>
  <c r="U29"/>
  <c r="AD11"/>
  <c r="AE15"/>
  <c r="AH41"/>
  <c r="B23"/>
  <c r="B9"/>
  <c r="E22"/>
  <c r="AG11"/>
  <c r="Y29"/>
  <c r="AL11"/>
  <c r="AI16"/>
  <c r="AJ14"/>
  <c r="R24"/>
  <c r="B20"/>
  <c r="S32"/>
  <c r="Q20"/>
  <c r="AE27"/>
  <c r="X45"/>
  <c r="Q28"/>
  <c r="D15"/>
  <c r="V24"/>
  <c r="S20"/>
  <c r="W32"/>
  <c r="AG20"/>
  <c r="K28"/>
  <c r="M18"/>
  <c r="J26"/>
  <c r="K23"/>
  <c r="AJ16"/>
  <c r="I25"/>
  <c r="AG21"/>
  <c r="G33"/>
  <c r="C22"/>
  <c r="W29"/>
  <c r="C9"/>
  <c r="J29"/>
  <c r="C17"/>
  <c r="Q25"/>
  <c r="D22"/>
  <c r="K33"/>
  <c r="L22"/>
  <c r="AE29"/>
  <c r="AJ19"/>
  <c r="C28"/>
  <c r="K27"/>
  <c r="R36"/>
  <c r="R27"/>
  <c r="Y35"/>
  <c r="Q19"/>
  <c r="H32"/>
  <c r="AB11"/>
  <c r="AH22"/>
  <c r="B15"/>
  <c r="AE30"/>
  <c r="AK15"/>
  <c r="D21"/>
  <c r="M43"/>
  <c r="AE24"/>
  <c r="AF11"/>
  <c r="AL22"/>
  <c r="B16"/>
  <c r="B31"/>
  <c r="AD16"/>
  <c r="U21"/>
  <c r="AB17"/>
  <c r="Y25"/>
  <c r="M22"/>
  <c r="O33"/>
  <c r="T22"/>
  <c r="B30"/>
  <c r="AA10"/>
  <c r="R29"/>
  <c r="AF17"/>
  <c r="AG25"/>
  <c r="U22"/>
  <c r="S33"/>
  <c r="AB22"/>
  <c r="S30"/>
  <c r="O22"/>
  <c r="AK11"/>
  <c r="AD29"/>
  <c r="P18"/>
  <c r="T26"/>
  <c r="Y23"/>
  <c r="I34"/>
  <c r="AF23"/>
  <c r="AG31"/>
  <c r="AG13"/>
  <c r="I30"/>
  <c r="T18"/>
  <c r="X26"/>
  <c r="AG23"/>
  <c r="M34"/>
  <c r="C24"/>
  <c r="B4"/>
  <c r="N21"/>
  <c r="B5"/>
  <c r="AG28"/>
  <c r="AL6"/>
  <c r="AL8"/>
  <c r="J41"/>
  <c r="AA21"/>
  <c r="C5"/>
  <c r="R21"/>
  <c r="B8"/>
  <c r="AK28"/>
  <c r="AC8"/>
  <c r="AJ9"/>
  <c r="N41"/>
  <c r="T32"/>
  <c r="AK32"/>
  <c r="AG24"/>
  <c r="AB29"/>
  <c r="AC33"/>
  <c r="AB13"/>
  <c r="AD23"/>
  <c r="AA18"/>
  <c r="AE31"/>
  <c r="AH18"/>
  <c r="Y24"/>
  <c r="AB44"/>
  <c r="D27"/>
  <c r="AF13"/>
  <c r="AH23"/>
  <c r="AI18"/>
  <c r="AI31"/>
  <c r="E19"/>
  <c r="G25"/>
  <c r="X18"/>
  <c r="AB26"/>
  <c r="D24"/>
  <c r="Q34"/>
  <c r="L24"/>
  <c r="M32"/>
  <c r="AG14"/>
  <c r="Y30"/>
  <c r="AB18"/>
  <c r="AF26"/>
  <c r="M24"/>
  <c r="U34"/>
  <c r="T24"/>
  <c r="U32"/>
  <c r="Q26"/>
  <c r="D23"/>
  <c r="AH11"/>
  <c r="L19"/>
  <c r="P27"/>
  <c r="AE25"/>
  <c r="U35"/>
  <c r="E26"/>
  <c r="Y33"/>
  <c r="D18"/>
  <c r="T31"/>
  <c r="P19"/>
  <c r="T27"/>
  <c r="G26"/>
  <c r="AC35"/>
  <c r="N26"/>
  <c r="AA9"/>
  <c r="J22"/>
  <c r="D12"/>
  <c r="AC29"/>
  <c r="AD12"/>
  <c r="AI17"/>
  <c r="N42"/>
  <c r="S23"/>
  <c r="AG15"/>
  <c r="Z24"/>
  <c r="AI20"/>
  <c r="AA32"/>
  <c r="H21"/>
  <c r="AA28"/>
  <c r="AF45"/>
  <c r="AD28"/>
  <c r="C16"/>
  <c r="AD24"/>
  <c r="I21"/>
  <c r="AE32"/>
  <c r="P21"/>
  <c r="AI28"/>
  <c r="T19"/>
  <c r="X27"/>
  <c r="O26"/>
  <c r="AK35"/>
  <c r="V26"/>
  <c r="K34"/>
  <c r="U18"/>
  <c r="AB31"/>
  <c r="X19"/>
  <c r="AB27"/>
  <c r="W26"/>
  <c r="E36"/>
  <c r="AD26"/>
  <c r="S34"/>
  <c r="N29"/>
  <c r="AA29"/>
  <c r="C23"/>
  <c r="M20"/>
  <c r="L28"/>
  <c r="AA27"/>
  <c r="C37"/>
  <c r="AH27"/>
  <c r="L36"/>
  <c r="AG19"/>
  <c r="P32"/>
  <c r="U20"/>
  <c r="P28"/>
  <c r="AI27"/>
  <c r="H37"/>
  <c r="E28"/>
  <c r="AJ11"/>
  <c r="E23"/>
  <c r="AE16"/>
  <c r="G31"/>
  <c r="AL16"/>
  <c r="AK21"/>
  <c r="AC43"/>
  <c r="S25"/>
  <c r="C12"/>
  <c r="J23"/>
  <c r="B17"/>
  <c r="K31"/>
  <c r="AD17"/>
  <c r="Q22"/>
  <c r="T45"/>
  <c r="AH19"/>
  <c r="AF44"/>
  <c r="H42"/>
  <c r="L33"/>
  <c r="O36"/>
  <c r="AJ17"/>
  <c r="C26"/>
  <c r="AC22"/>
  <c r="W33"/>
  <c r="AJ22"/>
  <c r="AI30"/>
  <c r="AE11"/>
  <c r="Z29"/>
  <c r="C18"/>
  <c r="H26"/>
  <c r="AK22"/>
  <c r="AA33"/>
  <c r="H23"/>
  <c r="I31"/>
  <c r="AC20"/>
  <c r="T28"/>
  <c r="G28"/>
  <c r="L37"/>
  <c r="N28"/>
  <c r="E37"/>
  <c r="W20"/>
  <c r="X32"/>
  <c r="AK20"/>
  <c r="X28"/>
  <c r="O28"/>
  <c r="P37"/>
  <c r="V28"/>
  <c r="N37"/>
  <c r="X31"/>
  <c r="AE33"/>
  <c r="C6"/>
  <c r="V21"/>
  <c r="AH8"/>
  <c r="D29"/>
  <c r="AK8"/>
  <c r="AC11"/>
  <c r="R41"/>
  <c r="G22"/>
  <c r="C8"/>
  <c r="Z21"/>
  <c r="E9"/>
  <c r="I29"/>
  <c r="AC9"/>
  <c r="AA12"/>
  <c r="AJ13"/>
  <c r="AL23"/>
  <c r="G19"/>
  <c r="B32"/>
  <c r="N19"/>
  <c r="B26"/>
  <c r="H45"/>
  <c r="U27"/>
  <c r="D20"/>
  <c r="AF18"/>
  <c r="AJ26"/>
  <c r="U24"/>
  <c r="Z34"/>
  <c r="AB24"/>
  <c r="AC32"/>
  <c r="D16"/>
  <c r="C31"/>
  <c r="AJ18"/>
  <c r="C27"/>
  <c r="AC24"/>
  <c r="AG34"/>
  <c r="AJ24"/>
  <c r="AA8"/>
  <c r="AD21"/>
  <c r="AF9"/>
  <c r="M29"/>
  <c r="AK9"/>
  <c r="AA13"/>
  <c r="Z41"/>
  <c r="W22"/>
  <c r="AE8"/>
  <c r="AH21"/>
  <c r="D10"/>
  <c r="Q29"/>
  <c r="AK10"/>
  <c r="AA14"/>
  <c r="AD41"/>
  <c r="D9"/>
  <c r="I35"/>
  <c r="AI9"/>
  <c r="R22"/>
  <c r="B13"/>
  <c r="AK29"/>
  <c r="AD13"/>
  <c r="AE18"/>
  <c r="V42"/>
  <c r="AI23"/>
  <c r="B10"/>
  <c r="V22"/>
  <c r="AE13"/>
  <c r="G30"/>
  <c r="AL13"/>
  <c r="K19"/>
  <c r="AB16"/>
  <c r="AH24"/>
  <c r="Q21"/>
  <c r="AI32"/>
  <c r="X21"/>
  <c r="G29"/>
  <c r="D8"/>
  <c r="AL28"/>
  <c r="AF16"/>
  <c r="AL24"/>
  <c r="Y21"/>
  <c r="B33"/>
  <c r="AF21"/>
  <c r="O29"/>
  <c r="G20"/>
  <c r="AL27"/>
  <c r="M27"/>
  <c r="AI11"/>
  <c r="Q43"/>
  <c r="O43"/>
  <c r="AB19"/>
  <c r="AF27"/>
  <c r="AE26"/>
  <c r="J36"/>
  <c r="AL26"/>
  <c r="AC34"/>
  <c r="AK18"/>
  <c r="AJ31"/>
  <c r="AF19"/>
  <c r="AJ27"/>
  <c r="B27"/>
  <c r="N36"/>
  <c r="J27"/>
  <c r="AG10"/>
  <c r="Z22"/>
  <c r="B14"/>
  <c r="O30"/>
  <c r="AD14"/>
  <c r="AA19"/>
  <c r="AD42"/>
  <c r="O24"/>
  <c r="C11"/>
  <c r="AD22"/>
  <c r="AE14"/>
  <c r="W30"/>
  <c r="AL14"/>
  <c r="K20"/>
  <c r="P44"/>
  <c r="E18"/>
  <c r="J42"/>
  <c r="AB12"/>
  <c r="N23"/>
  <c r="AE17"/>
  <c r="O31"/>
  <c r="AL17"/>
  <c r="AG22"/>
  <c r="L44"/>
  <c r="I26"/>
  <c r="AF12"/>
  <c r="R23"/>
  <c r="B18"/>
  <c r="S31"/>
  <c r="J18"/>
  <c r="M23"/>
  <c r="H18"/>
  <c r="L26"/>
  <c r="I23"/>
  <c r="AI33"/>
  <c r="P23"/>
  <c r="Q31"/>
  <c r="AG12"/>
  <c r="AH29"/>
  <c r="E24"/>
  <c r="G32"/>
  <c r="S26"/>
  <c r="AJ23"/>
  <c r="AD44"/>
  <c r="G41"/>
  <c r="W48"/>
  <c r="U33"/>
  <c r="R31"/>
  <c r="P47"/>
  <c r="AC10"/>
  <c r="AB41"/>
  <c r="Z27"/>
  <c r="E27"/>
  <c r="G44"/>
  <c r="D26"/>
  <c r="V29"/>
  <c r="AA22"/>
  <c r="AA41"/>
  <c r="AE46"/>
  <c r="M31"/>
  <c r="AF29"/>
  <c r="X46"/>
  <c r="O19"/>
  <c r="D14"/>
  <c r="D31"/>
  <c r="AK25"/>
  <c r="U36"/>
  <c r="AI13"/>
  <c r="Q30"/>
  <c r="Y22"/>
  <c r="K30"/>
  <c r="L49"/>
  <c r="AC12"/>
  <c r="U42"/>
  <c r="K43"/>
  <c r="L21"/>
  <c r="B24"/>
  <c r="W42"/>
  <c r="AA47"/>
  <c r="Y32"/>
  <c r="AK30"/>
  <c r="H47"/>
  <c r="E8"/>
  <c r="L41"/>
  <c r="AJ32"/>
  <c r="AC48"/>
  <c r="P22"/>
  <c r="AL9"/>
  <c r="S35"/>
  <c r="AG41"/>
  <c r="AE48"/>
  <c r="G47"/>
  <c r="O21"/>
  <c r="E13"/>
  <c r="R33"/>
  <c r="Y20"/>
  <c r="AA34"/>
  <c r="AD8"/>
  <c r="I41"/>
  <c r="D32"/>
  <c r="L29"/>
  <c r="E11"/>
  <c r="J33"/>
  <c r="R19"/>
  <c r="R34"/>
  <c r="J28"/>
  <c r="S37"/>
  <c r="S46"/>
  <c r="Z47"/>
  <c r="N45"/>
  <c r="AA15"/>
  <c r="AK14"/>
  <c r="S43"/>
  <c r="K25"/>
  <c r="G45"/>
  <c r="N22"/>
  <c r="AG29"/>
  <c r="O18"/>
  <c r="AH13"/>
  <c r="AK34"/>
  <c r="AI34"/>
  <c r="K46"/>
  <c r="S29"/>
  <c r="H29"/>
  <c r="L46"/>
  <c r="AF31"/>
  <c r="O34"/>
  <c r="AD31"/>
  <c r="V47"/>
  <c r="J19"/>
  <c r="AH44"/>
  <c r="P34"/>
  <c r="V50"/>
  <c r="U50"/>
  <c r="AK3"/>
  <c r="AK19"/>
  <c r="Q37"/>
  <c r="AA45"/>
  <c r="S28"/>
  <c r="AB28"/>
  <c r="AC45"/>
  <c r="P31"/>
  <c r="M33"/>
  <c r="N31"/>
  <c r="N47"/>
  <c r="N18"/>
  <c r="R44"/>
  <c r="H34"/>
  <c r="N50"/>
  <c r="AE50"/>
  <c r="K50"/>
  <c r="V37"/>
  <c r="K47"/>
  <c r="D30"/>
  <c r="AB32"/>
  <c r="Z32"/>
  <c r="T21"/>
  <c r="B35"/>
  <c r="AD49"/>
  <c r="K22"/>
  <c r="W46"/>
  <c r="X29"/>
  <c r="L32"/>
  <c r="J32"/>
  <c r="I20"/>
  <c r="X34"/>
  <c r="Q48"/>
  <c r="AC44"/>
  <c r="H36"/>
  <c r="AH42"/>
  <c r="AF42"/>
  <c r="AB49"/>
  <c r="AK16"/>
  <c r="AG48"/>
  <c r="AF24"/>
  <c r="M44"/>
  <c r="W34"/>
  <c r="R42"/>
  <c r="P42"/>
  <c r="W36"/>
  <c r="Y44"/>
  <c r="B36"/>
  <c r="S19"/>
  <c r="AA42"/>
  <c r="AE49"/>
  <c r="AG32"/>
  <c r="Z44"/>
  <c r="AK12"/>
  <c r="S47"/>
  <c r="U30"/>
  <c r="H28"/>
  <c r="C36"/>
  <c r="I27"/>
  <c r="AH17"/>
  <c r="C34"/>
  <c r="X22"/>
  <c r="T29"/>
  <c r="R46"/>
  <c r="E12"/>
  <c r="L42"/>
  <c r="N33"/>
  <c r="R49"/>
  <c r="W50"/>
  <c r="AH28"/>
  <c r="AK13"/>
  <c r="G36"/>
  <c r="AG42"/>
  <c r="AA20"/>
  <c r="AA24"/>
  <c r="G43"/>
  <c r="E29"/>
  <c r="K29"/>
  <c r="C29"/>
  <c r="J46"/>
  <c r="AG9"/>
  <c r="X41"/>
  <c r="E33"/>
  <c r="J49"/>
  <c r="AA49"/>
  <c r="G49"/>
  <c r="S48"/>
  <c r="Q42"/>
  <c r="AE23"/>
  <c r="Y28"/>
  <c r="U28"/>
  <c r="AL5"/>
  <c r="AH32"/>
  <c r="S49"/>
  <c r="AD9"/>
  <c r="AC41"/>
  <c r="AI22"/>
  <c r="AC27"/>
  <c r="Y27"/>
  <c r="Q50"/>
  <c r="V32"/>
  <c r="AG47"/>
  <c r="I37"/>
  <c r="AA26"/>
  <c r="M45"/>
  <c r="Q32"/>
  <c r="AH46"/>
  <c r="Y43"/>
  <c r="AH49"/>
  <c r="L18"/>
  <c r="Q23"/>
  <c r="X23"/>
  <c r="G24"/>
  <c r="C32"/>
  <c r="AC16"/>
  <c r="M41"/>
  <c r="AE10"/>
  <c r="B22"/>
  <c r="O41"/>
  <c r="AG26"/>
  <c r="AK23"/>
  <c r="AC26"/>
  <c r="U44"/>
  <c r="AC49"/>
  <c r="Q35"/>
  <c r="E32"/>
  <c r="AB47"/>
  <c r="AA48"/>
  <c r="S21"/>
  <c r="R45"/>
  <c r="V34"/>
  <c r="AB50"/>
  <c r="Z28"/>
  <c r="G21"/>
  <c r="W37"/>
  <c r="AI25"/>
  <c r="I22"/>
  <c r="AA25"/>
  <c r="AE43"/>
  <c r="I49"/>
  <c r="G34"/>
  <c r="Z31"/>
  <c r="T47"/>
  <c r="K48"/>
  <c r="Q47"/>
  <c r="U46"/>
  <c r="P49"/>
  <c r="AC13"/>
  <c r="B21"/>
  <c r="AE20"/>
  <c r="G46"/>
  <c r="AJ28"/>
  <c r="Y46"/>
  <c r="T41"/>
  <c r="H49"/>
  <c r="AA11"/>
  <c r="Y19"/>
  <c r="U19"/>
  <c r="S45"/>
  <c r="M28"/>
  <c r="N49"/>
  <c r="N34"/>
  <c r="AD27"/>
  <c r="O37"/>
  <c r="AI19"/>
  <c r="AE42"/>
  <c r="D33"/>
  <c r="L47"/>
  <c r="AG16"/>
  <c r="E34"/>
  <c r="AH26"/>
  <c r="G37"/>
  <c r="G18"/>
  <c r="I18"/>
  <c r="AK26"/>
  <c r="AJ29"/>
  <c r="E14"/>
  <c r="V33"/>
  <c r="W49"/>
  <c r="T36"/>
  <c r="T23"/>
  <c r="AC14"/>
  <c r="AG49"/>
  <c r="M49"/>
  <c r="C14"/>
  <c r="V19"/>
  <c r="I19"/>
  <c r="AF49"/>
  <c r="AK17"/>
  <c r="AE22"/>
  <c r="S27"/>
  <c r="E31"/>
  <c r="I44"/>
  <c r="H33"/>
  <c r="L23"/>
  <c r="AI35"/>
  <c r="M47"/>
  <c r="AK5"/>
  <c r="X42"/>
  <c r="T33"/>
  <c r="X49"/>
  <c r="X24"/>
  <c r="AI15"/>
  <c r="M36"/>
  <c r="AI21"/>
  <c r="AB9"/>
  <c r="AE21"/>
  <c r="K41"/>
  <c r="O46"/>
  <c r="AI29"/>
  <c r="P29"/>
  <c r="P46"/>
  <c r="AG46"/>
  <c r="M46"/>
  <c r="AH50"/>
  <c r="V46"/>
  <c r="T42"/>
  <c r="AB45"/>
  <c r="Z45"/>
  <c r="AF50"/>
  <c r="W21"/>
  <c r="Y41"/>
  <c r="M21"/>
  <c r="N46"/>
  <c r="AF41"/>
  <c r="L45"/>
  <c r="J45"/>
  <c r="X50"/>
  <c r="O20"/>
  <c r="K49"/>
  <c r="AF28"/>
  <c r="Z19"/>
  <c r="T34"/>
  <c r="P24"/>
  <c r="K36"/>
  <c r="AC21"/>
  <c r="W43"/>
  <c r="AE9"/>
  <c r="AE12"/>
  <c r="AL12"/>
  <c r="Z42"/>
  <c r="X37"/>
  <c r="AL31"/>
  <c r="U48"/>
  <c r="AJ21"/>
  <c r="AJ8"/>
  <c r="K35"/>
  <c r="AC18"/>
  <c r="Z26"/>
  <c r="Y18"/>
  <c r="D37"/>
  <c r="AE44"/>
  <c r="W25"/>
  <c r="Q27"/>
  <c r="AG44"/>
  <c r="I46"/>
  <c r="V41"/>
  <c r="P36"/>
  <c r="R32"/>
  <c r="AH47"/>
  <c r="C21"/>
  <c r="AD45"/>
  <c r="AE34"/>
  <c r="AG17"/>
  <c r="U25"/>
  <c r="AC17"/>
  <c r="S36"/>
  <c r="O44"/>
  <c r="U23"/>
  <c r="U26"/>
  <c r="Q44"/>
  <c r="W45"/>
  <c r="K44"/>
  <c r="Q49"/>
  <c r="G42"/>
  <c r="AC31"/>
  <c r="AB46"/>
  <c r="J37"/>
  <c r="M48"/>
  <c r="AK6"/>
  <c r="Q41"/>
  <c r="E16"/>
  <c r="S41"/>
  <c r="AA30"/>
  <c r="T46"/>
  <c r="AG35"/>
  <c r="AD47"/>
  <c r="V45"/>
  <c r="Z50"/>
  <c r="AH45"/>
  <c r="I50"/>
  <c r="N32"/>
  <c r="AH14"/>
  <c r="X33"/>
  <c r="D25"/>
  <c r="Q36"/>
  <c r="AE45"/>
  <c r="M26"/>
  <c r="U49"/>
  <c r="AH31"/>
  <c r="AH12"/>
  <c r="H31"/>
  <c r="Q24"/>
  <c r="U31"/>
  <c r="Y42"/>
  <c r="K24"/>
  <c r="O50"/>
  <c r="I47"/>
  <c r="R47"/>
  <c r="D13"/>
  <c r="O42"/>
  <c r="I32"/>
  <c r="AF46"/>
  <c r="V36"/>
  <c r="AK31"/>
  <c r="J47"/>
  <c r="J44"/>
  <c r="D11"/>
  <c r="AI10"/>
  <c r="W35"/>
  <c r="I42"/>
  <c r="AA17"/>
  <c r="O23"/>
  <c r="K42"/>
  <c r="AA43"/>
  <c r="B34"/>
  <c r="AE28"/>
  <c r="M30"/>
  <c r="AD46"/>
  <c r="AC15"/>
  <c r="I43"/>
  <c r="Z33"/>
  <c r="AF8"/>
  <c r="AB21"/>
  <c r="AB8"/>
  <c r="G35"/>
  <c r="U41"/>
  <c r="AI12"/>
  <c r="S22"/>
  <c r="W41"/>
  <c r="AC42"/>
  <c r="R50"/>
  <c r="G50"/>
  <c r="AE35"/>
  <c r="W18"/>
  <c r="S42"/>
  <c r="B28"/>
  <c r="Y45"/>
  <c r="H41"/>
  <c r="Y48"/>
  <c r="B25"/>
  <c r="O35"/>
  <c r="AI14"/>
  <c r="AE41"/>
  <c r="K26"/>
  <c r="I45"/>
  <c r="X36"/>
  <c r="I48"/>
  <c r="AA16"/>
  <c r="K45"/>
  <c r="AG27"/>
  <c r="AG30"/>
  <c r="AC30"/>
  <c r="AH16"/>
  <c r="AG33"/>
  <c r="AE47"/>
  <c r="P26"/>
  <c r="D34"/>
  <c r="Y31"/>
  <c r="B19"/>
  <c r="D19"/>
  <c r="AG45"/>
  <c r="AG8"/>
  <c r="P41"/>
  <c r="AL32"/>
  <c r="X44"/>
  <c r="V18"/>
  <c r="V44"/>
  <c r="J34"/>
  <c r="P50"/>
  <c r="N27"/>
  <c r="M19"/>
  <c r="K37"/>
  <c r="J50"/>
  <c r="Y47"/>
  <c r="AL3"/>
  <c r="D28"/>
  <c r="Q45"/>
  <c r="Y50"/>
  <c r="R37"/>
  <c r="AD32"/>
  <c r="H44"/>
  <c r="E17"/>
  <c r="AG43"/>
  <c r="AK33"/>
  <c r="H50"/>
  <c r="R26"/>
  <c r="Q18"/>
  <c r="B37"/>
  <c r="V49"/>
  <c r="X47"/>
  <c r="Y49"/>
  <c r="AF32"/>
  <c r="AB23"/>
  <c r="D36"/>
  <c r="R28"/>
  <c r="U37"/>
  <c r="B29"/>
  <c r="H46"/>
  <c r="U43"/>
  <c r="C33"/>
  <c r="AF22"/>
  <c r="AA35"/>
  <c r="V27"/>
  <c r="M37"/>
  <c r="W27"/>
  <c r="U45"/>
  <c r="W47"/>
  <c r="T50"/>
  <c r="AC19"/>
  <c r="W24"/>
  <c r="S24"/>
  <c r="G48"/>
  <c r="J31"/>
  <c r="AC47"/>
  <c r="N44"/>
  <c r="L50"/>
  <c r="AG18"/>
  <c r="AA23"/>
  <c r="W23"/>
  <c r="W44"/>
  <c r="AL29"/>
  <c r="AB42"/>
  <c r="AD50"/>
  <c r="T49"/>
  <c r="O48"/>
  <c r="AC50"/>
  <c r="AA46"/>
  <c r="V31"/>
  <c r="P33"/>
  <c r="I36"/>
  <c r="AC46"/>
  <c r="M50"/>
  <c r="S50"/>
  <c r="Z46"/>
  <c r="Z49"/>
  <c r="AD18"/>
  <c r="AF47"/>
  <c r="Q46"/>
  <c r="S44"/>
  <c r="O47"/>
  <c r="L34"/>
  <c r="H24"/>
  <c r="U47"/>
  <c r="AA44"/>
  <c r="O45"/>
  <c r="M42"/>
  <c r="AA50"/>
  <c r="O49"/>
  <c r="AG50"/>
  <c r="L12" l="1"/>
  <c r="L11"/>
  <c r="K11"/>
  <c r="K10"/>
  <c r="K12"/>
  <c r="L9"/>
  <c r="K9"/>
  <c r="L8"/>
</calcChain>
</file>

<file path=xl/sharedStrings.xml><?xml version="1.0" encoding="utf-8"?>
<sst xmlns="http://schemas.openxmlformats.org/spreadsheetml/2006/main" count="3644" uniqueCount="1267">
  <si>
    <t>'Zinn''' (Germanische Sprachen|altgermanische Bezeichnung: z. B. althochdeutsch ''zin'' = Stab, Zinn). Das Metall Zinn wurde ursprünglich in Stabform gegossen. Im Lateinischen heißt Zinn "''stannum''", daher rührt auch das chem. Symbol Sn.</t>
  </si>
  <si>
    <t>Die Entdeckung des Elementes Terbium ist sehr verworren und bis heute nicht geklärt. Allgemein sieht man Carl Gustav Mosander als Entdecker an, der Anfang der 1840er die von Johan Gadolin entdeckte ''Yttererde'' untersuchte. Die vermeintlich reine Terbium-Verbindung war aber eine Mischung mehrerer Lanthanide (Bunsen). Reines Terbium wurde erst mit Aufkommen der Ionenaustauschtechnik nach 1945 hergestellt. Aus dem Namen der schwedischen Grube Ytterby leitete Mosander die Elementbezeichnung ab.</t>
  </si>
  <si>
    <t>Thorium ist benannt nach dem germanischen Gott Thor.</t>
  </si>
  <si>
    <t>Thulium (nach ''Thule'', dem mythischen Namen für Skandinavien) wurde 1879 von dem schwedischen Chemiker Per Teodor Cleve zusammen mit Holmium in Erbia (Erbiumoxid) entdeckt (siehe Holmium</t>
  </si>
  <si>
    <t xml:space="preserve">Der Name Ununpentium ist abgeleitet von lat. ''unus'' = eins (2x) und griech. ''pente'' = fünf - entsprechend der Ordnungszahl 115. </t>
  </si>
  <si>
    <t>Vanadium''', auch: Vanadin (v.altnord.: ''Vanadis'' [Name der germanischen Göttin der Schönheit Freya; nach dem farbenprächtigen Aussehen mancher V-Verbindungen]). Vanadinverbindungen zeigen eine große und schöne Farbenvielfalt. Deshalb benannte es Sefström nach Freya, der nordischen Göttin der Schönheit, die den Beinamen Vanadis trug.</t>
  </si>
  <si>
    <t>Er nannte das Mineral lupi spuma, was aus dem Lateinischen übersetzt soviel wie "Wolf(s)-Schaum bedeutet. Später wurde aus Wolfschaum Wolfrahm. Und schließlich entstand das heute bekannte Wort Wolfram.</t>
  </si>
  <si>
    <t>Wortherkunft</t>
  </si>
  <si>
    <t>gelb-grün</t>
  </si>
  <si>
    <t>Ar</t>
  </si>
  <si>
    <t>Argon</t>
  </si>
  <si>
    <t>K</t>
  </si>
  <si>
    <t>Kalium</t>
  </si>
  <si>
    <t>89.2</t>
  </si>
  <si>
    <t>violett</t>
  </si>
  <si>
    <t>Ca</t>
  </si>
  <si>
    <t>Calcium</t>
  </si>
  <si>
    <t>178.2</t>
  </si>
  <si>
    <t>ziegelrot</t>
  </si>
  <si>
    <t>Sc</t>
  </si>
  <si>
    <t>Scandium</t>
  </si>
  <si>
    <t>377.8</t>
  </si>
  <si>
    <t>Ti</t>
  </si>
  <si>
    <t>Titan</t>
  </si>
  <si>
    <t>469.9</t>
  </si>
  <si>
    <t>V</t>
  </si>
  <si>
    <t>Vanadium</t>
  </si>
  <si>
    <t>Mexiko</t>
  </si>
  <si>
    <t>514.2</t>
  </si>
  <si>
    <t>Cr</t>
  </si>
  <si>
    <t>Chrom</t>
  </si>
  <si>
    <t>396.6</t>
  </si>
  <si>
    <t>grau</t>
  </si>
  <si>
    <t>Mn</t>
  </si>
  <si>
    <t>Mangan</t>
  </si>
  <si>
    <t>280.7</t>
  </si>
  <si>
    <t>Fe</t>
  </si>
  <si>
    <t>Eisen</t>
  </si>
  <si>
    <t>416.3</t>
  </si>
  <si>
    <t>Co</t>
  </si>
  <si>
    <t>Cobalt</t>
  </si>
  <si>
    <t>424.7</t>
  </si>
  <si>
    <t>Ni</t>
  </si>
  <si>
    <t>Nickel</t>
  </si>
  <si>
    <t>429.7</t>
  </si>
  <si>
    <t>Cu</t>
  </si>
  <si>
    <t>Kupfer</t>
  </si>
  <si>
    <t>338.3</t>
  </si>
  <si>
    <t>orange-rot</t>
  </si>
  <si>
    <t>Zn</t>
  </si>
  <si>
    <t>Zink</t>
  </si>
  <si>
    <t>130.7</t>
  </si>
  <si>
    <t>blau-weiß</t>
  </si>
  <si>
    <t>Ga</t>
  </si>
  <si>
    <t>Gallium</t>
  </si>
  <si>
    <t>Ge</t>
  </si>
  <si>
    <t>Germanium</t>
  </si>
  <si>
    <t>376.6</t>
  </si>
  <si>
    <t>As</t>
  </si>
  <si>
    <t>Arsen</t>
  </si>
  <si>
    <t>302.5</t>
  </si>
  <si>
    <t>Se</t>
  </si>
  <si>
    <t>Selen</t>
  </si>
  <si>
    <t>227.1</t>
  </si>
  <si>
    <t>Br</t>
  </si>
  <si>
    <t>Brom</t>
  </si>
  <si>
    <t>111.9</t>
  </si>
  <si>
    <t>Kr</t>
  </si>
  <si>
    <t>Krypton</t>
  </si>
  <si>
    <t>Rb</t>
  </si>
  <si>
    <t>Rubidium</t>
  </si>
  <si>
    <t>80.9</t>
  </si>
  <si>
    <t>Sr</t>
  </si>
  <si>
    <t>Strontium</t>
  </si>
  <si>
    <t>164.4</t>
  </si>
  <si>
    <t>karminrot</t>
  </si>
  <si>
    <t>Y</t>
  </si>
  <si>
    <t>Yttrium</t>
  </si>
  <si>
    <t>Finnland</t>
  </si>
  <si>
    <t>421.3</t>
  </si>
  <si>
    <t>Zr</t>
  </si>
  <si>
    <t>Zirconium</t>
  </si>
  <si>
    <t>608.8</t>
  </si>
  <si>
    <t>Nb</t>
  </si>
  <si>
    <t>Niob</t>
  </si>
  <si>
    <t>725.9</t>
  </si>
  <si>
    <t>Mo</t>
  </si>
  <si>
    <t>Molybdän</t>
  </si>
  <si>
    <t>658.1</t>
  </si>
  <si>
    <t>Tc</t>
  </si>
  <si>
    <t>Technetium</t>
  </si>
  <si>
    <t>Italien</t>
  </si>
  <si>
    <t>Ru</t>
  </si>
  <si>
    <t>Ruthenium</t>
  </si>
  <si>
    <t>Rußland</t>
  </si>
  <si>
    <t>642.7</t>
  </si>
  <si>
    <t>Rh</t>
  </si>
  <si>
    <t>Rhodium</t>
  </si>
  <si>
    <t>556.9</t>
  </si>
  <si>
    <t>Pd</t>
  </si>
  <si>
    <t>Palladium</t>
  </si>
  <si>
    <t>378.2</t>
  </si>
  <si>
    <t>Ag</t>
  </si>
  <si>
    <t>Silber</t>
  </si>
  <si>
    <t>284.6</t>
  </si>
  <si>
    <t>Cd</t>
  </si>
  <si>
    <t>Cadmium</t>
  </si>
  <si>
    <t>In</t>
  </si>
  <si>
    <t>Indium</t>
  </si>
  <si>
    <t>243.3</t>
  </si>
  <si>
    <t>violettblau</t>
  </si>
  <si>
    <t>Sn</t>
  </si>
  <si>
    <t>Zinn</t>
  </si>
  <si>
    <t>302.1</t>
  </si>
  <si>
    <t>Sb</t>
  </si>
  <si>
    <t>Antimon</t>
  </si>
  <si>
    <t>262.3</t>
  </si>
  <si>
    <t>Te</t>
  </si>
  <si>
    <t>Tellur</t>
  </si>
  <si>
    <t>Rumänien</t>
  </si>
  <si>
    <t>196.7</t>
  </si>
  <si>
    <t>Iod</t>
  </si>
  <si>
    <t>106.8</t>
  </si>
  <si>
    <t>schwarzgrau</t>
  </si>
  <si>
    <t>Xe</t>
  </si>
  <si>
    <t>Xenon</t>
  </si>
  <si>
    <t>Cs</t>
  </si>
  <si>
    <t>76.1</t>
  </si>
  <si>
    <t>blau</t>
  </si>
  <si>
    <t>Ba</t>
  </si>
  <si>
    <t>Barium</t>
  </si>
  <si>
    <t>gelbgrün</t>
  </si>
  <si>
    <t>L-Name</t>
  </si>
  <si>
    <t>E-Name</t>
  </si>
  <si>
    <t>Silver</t>
  </si>
  <si>
    <t>Copper</t>
  </si>
  <si>
    <t>Iron</t>
  </si>
  <si>
    <t>Mercury</t>
  </si>
  <si>
    <t>Lead</t>
  </si>
  <si>
    <t>Antimony</t>
  </si>
  <si>
    <t>Tin</t>
  </si>
  <si>
    <t>Scandium (lat. Scandia für Skandinavien)</t>
  </si>
  <si>
    <t xml:space="preserve">Titan </t>
  </si>
  <si>
    <t>Der Name Kobalt leitet sich von Kobold ab, weil Kobolde in früherer Vorstellung Erze mit diesem (damals) unbearbeitbaren Mineral verunreinigten. Das Symbol Co leitet sich aus der lateinischen Bezeichnung cobaltum ab.</t>
  </si>
  <si>
    <t>Ähnlich wie beim Kobalt wurde hier ein Wort für böse Geister zum Namensgeber, man verwechselte das wertlose Nickel oft mit Silber und glaubte sich dann vom bösen Erdgeist „Nickel“ betrogen.</t>
  </si>
  <si>
    <t>Kupfer (von lat. cuprum: „Kupfer, Metall aus Zypern“).</t>
  </si>
  <si>
    <t>Der Name Zink kommt von ''Zinke, Zind'' „Zahn, Zacke“, da Zink zackenförmig erstarrt.</t>
  </si>
  <si>
    <t>Gallium ist benannt nach ''Gallien'', dem lateinischen Namen für Frankreich. Möglich wäre auch, dass sich der Entdecker hier selbst verewigt hat, denn ''Le coq'' ist französisch und bedeutet ''der Hahn'', der auf lateinisch ''gallus'' heißt.</t>
  </si>
  <si>
    <t>Germanium (von lat. ''Germania'' "Deutschland", dem Vaterland des Entdeckers Clemens Winkler.</t>
  </si>
  <si>
    <t>Der Name Arsen geht unmittelbar auf das griechische arsenikón zurück, die Bezeichnung des Arsenminerals Auripigment. Die griechische Bezeichnung scheint ihrerseits ihren Ursprung im Mittelpersischen al-zarnik (= goldfarben) zu haben und gelangte wohl durch semitische Vermittlung ins Griechische. Volksetymologisch wurde der Name fälschlicherweise vom griechischen Wort arsenikós abgeleitet, das sich etwa mit männlich/stark übersetzen lässt.</t>
  </si>
  <si>
    <t>Selen – benannt nach der griechischen Mondgöttin Selene - wurde im Bleikammerschlamm einer Schwefelsäurefabrik entdeckt, der neben Selen auch Tellur (von lat. ''tellus'' für ''Erde'') enthielt.</t>
  </si>
  <si>
    <t>Brom (von altgriechisch (brómos) = Gestank, wegen des beißenden Geruchs von Bromdämpfen)</t>
  </si>
  <si>
    <t>Krypton (griechisch krypton = verborgen) wurde im "Rückstand" verdampfter Luft entdeckt.</t>
  </si>
  <si>
    <t>Aradius</t>
  </si>
  <si>
    <t>Enthalpie</t>
  </si>
  <si>
    <t>Wert</t>
  </si>
  <si>
    <t>Flamme</t>
  </si>
  <si>
    <t>Farbe</t>
  </si>
  <si>
    <t>Verwendung</t>
  </si>
  <si>
    <t>Bild-Verwendung</t>
  </si>
  <si>
    <t>Bild-Element</t>
  </si>
  <si>
    <t>E-Gruppe</t>
  </si>
  <si>
    <t>Sonstiges-kurz</t>
  </si>
  <si>
    <t>alles</t>
  </si>
  <si>
    <t>alles-1</t>
  </si>
  <si>
    <t>alles-2</t>
  </si>
  <si>
    <t>alles-3</t>
  </si>
  <si>
    <t>[[radioaktiv]]es&amp;nbsp;</t>
  </si>
  <si>
    <t>E-Jahr</t>
  </si>
  <si>
    <t>E-von</t>
  </si>
  <si>
    <t>E-Land</t>
  </si>
  <si>
    <t>Segré, Perrier</t>
  </si>
  <si>
    <t>Marinsky, Coryell</t>
  </si>
  <si>
    <t>Curie</t>
  </si>
  <si>
    <t>Corson, Mackenzie</t>
  </si>
  <si>
    <t>Dorn</t>
  </si>
  <si>
    <t>Perey</t>
  </si>
  <si>
    <t>Debierne, Giesel</t>
  </si>
  <si>
    <t>Berzelius</t>
  </si>
  <si>
    <t>Hahn, Meitner</t>
  </si>
  <si>
    <t>Klaproth</t>
  </si>
  <si>
    <t>McMillan, Abelson</t>
  </si>
  <si>
    <t>Seaborg, McMillan</t>
  </si>
  <si>
    <t>Seaborg, James, Morg</t>
  </si>
  <si>
    <t>Seaborg, James, Ghio</t>
  </si>
  <si>
    <t>Seaborg, Thomson</t>
  </si>
  <si>
    <t>Seaborg,Thomson</t>
  </si>
  <si>
    <t>Thomson, Ghiorso</t>
  </si>
  <si>
    <t>Nobel-Institut</t>
  </si>
  <si>
    <t>USA-Gruppe</t>
  </si>
  <si>
    <t>UdSSR-Gruppe</t>
  </si>
  <si>
    <t>GSI Darmstadt</t>
  </si>
  <si>
    <t>Boyle, Cavendish</t>
  </si>
  <si>
    <t>Ramsay</t>
  </si>
  <si>
    <t>Arfvedson</t>
  </si>
  <si>
    <t>Vauquelin</t>
  </si>
  <si>
    <t>Gay-Lussac, Thénard</t>
  </si>
  <si>
    <t>Scheele, Rutherford</t>
  </si>
  <si>
    <t>Scheele</t>
  </si>
  <si>
    <t>Moissan</t>
  </si>
  <si>
    <t>Davy</t>
  </si>
  <si>
    <t>Davy,Bussy</t>
  </si>
  <si>
    <t>Oersted</t>
  </si>
  <si>
    <t>Brand</t>
  </si>
  <si>
    <t>Rayleigh, Ramsay</t>
  </si>
  <si>
    <t>Nilson</t>
  </si>
  <si>
    <t>Sefström</t>
  </si>
  <si>
    <t>Gahn</t>
  </si>
  <si>
    <t>Brandt</t>
  </si>
  <si>
    <t>Cronstedt</t>
  </si>
  <si>
    <t>de Boisbaudran</t>
  </si>
  <si>
    <t>Winkler</t>
  </si>
  <si>
    <t>Balard</t>
  </si>
  <si>
    <t>Ramsay,Travers</t>
  </si>
  <si>
    <t>Bunsen</t>
  </si>
  <si>
    <t>Crawford</t>
  </si>
  <si>
    <t>Marignac</t>
  </si>
  <si>
    <t>Hatchett</t>
  </si>
  <si>
    <t>Hjelm</t>
  </si>
  <si>
    <t>Claus</t>
  </si>
  <si>
    <t>Wollaston</t>
  </si>
  <si>
    <t>Stromeyer</t>
  </si>
  <si>
    <t>Reich, Richter</t>
  </si>
  <si>
    <t>Müller</t>
  </si>
  <si>
    <t>Courtois</t>
  </si>
  <si>
    <t>Ramsay, Travers</t>
  </si>
  <si>
    <t>Bunsen, Kirchhoff</t>
  </si>
  <si>
    <t>Mosander</t>
  </si>
  <si>
    <t>von Welsbach</t>
  </si>
  <si>
    <t>Demarcay</t>
  </si>
  <si>
    <t>Cleve</t>
  </si>
  <si>
    <r>
      <t xml:space="preserve">Elementsymbol                fest </t>
    </r>
    <r>
      <rPr>
        <sz val="11"/>
        <color indexed="52"/>
        <rFont val="Arial"/>
        <family val="2"/>
      </rPr>
      <t>flüssig</t>
    </r>
    <r>
      <rPr>
        <sz val="11"/>
        <rFont val="Arial"/>
        <family val="2"/>
      </rPr>
      <t xml:space="preserve"> </t>
    </r>
    <r>
      <rPr>
        <sz val="11"/>
        <color indexed="48"/>
        <rFont val="Arial"/>
        <family val="2"/>
      </rPr>
      <t>gasförmig</t>
    </r>
  </si>
  <si>
    <t>Urbain, von Welsbach</t>
  </si>
  <si>
    <t>Coster, de Hevesey</t>
  </si>
  <si>
    <t>Rose</t>
  </si>
  <si>
    <t>de Elhuyar</t>
  </si>
  <si>
    <t>Noddack, Berg</t>
  </si>
  <si>
    <t>Tennant</t>
  </si>
  <si>
    <t>de Ulloa</t>
  </si>
  <si>
    <t>Crokes</t>
  </si>
  <si>
    <t>OZ3</t>
  </si>
  <si>
    <t>1. Ion.-energie (kJ/mol)</t>
  </si>
  <si>
    <t>2. Ion.-energie (kJ/mol)</t>
  </si>
  <si>
    <t>3. Ion.-energie (kJ/mol)</t>
  </si>
  <si>
    <t>Rubidium (lateinisch ''rubidus'' für tiefrot, wegen zwei charakteristischer roter Spektrallinien) wurde spektroskopisch im Mineralwasser entdeckt.</t>
  </si>
  <si>
    <t>Mineral Strontianit, benannt nach der schottischen Stadt Strontian</t>
  </si>
  <si>
    <t>Yttrium (''Ytterby'', schwedische Ortschaft in der Nähe von Stockholm) wurde im Mineral Ytterbit entdeckt.</t>
  </si>
  <si>
    <t>Zirkonium wurde nach dem Mineral Zirkon benannt, das eine Zirkoniumverbindung ist.</t>
  </si>
  <si>
    <t>Molybdän, von griech. molybdos für Blei, das in Lagerstätten in der Regel als Molybdänglanz (Molybdändisulfid) vorkommt wurde lange Zeit mit Bleiglanz oder auch Graphit verwechselt.</t>
  </si>
  <si>
    <t>Technetium war das erste künstlich hergestellte Element und erhielt deswegen seinen aus dem griechischen Wort für „künstlich“, tekhnetos, hergeleiteten Namen.</t>
  </si>
  <si>
    <t>Ruthenium (von ''Ruthenia'', lateinisch für Russland)</t>
  </si>
  <si>
    <t>Rhodium (griechisch ''rhodon'' für Rose) wurde in einem Rohplatinerz entdeckt.</t>
  </si>
  <si>
    <t>Palladium wurde 1804 nach dem zwei Jahre vorher entdeckten Asteroiden Pallas benannt.</t>
  </si>
  <si>
    <t>Das Wort Cadmium zu lat. cadmea oder cadmia, welches sich von dem altgriechischen Wort kadmía = Zinkerz herleitet.</t>
  </si>
  <si>
    <t>Indium (benannt nach der ''indigo''farbenen Absorptionsbande im Linienspektrum)</t>
  </si>
  <si>
    <t>Das Wort Antimon kommt vermutlich von arabischen itmid, das Symbol vom lateinischen stibium (= Grauspießglanz). Antimon schon in der Bronzezeit als Zuschlag zu Kupfer verwendet, um Bronze herzustellen. Im 17. Jahrhundert ging der Name Antimon als Bezeichnung auf das Metall über. ie Kopten|koptische Bezeichnung für den Schminkpuder Antimonsulfid ging über das Griechische in das Lateinische stibium über. Die Abkürzung Sb</t>
  </si>
  <si>
    <t>Tellur (lateinisch ''tellus'' für Erde)</t>
  </si>
  <si>
    <t>Iod (vom altgriechischen Wort ιο-ειδης = veilchenfarbig, wegen der violetten Farbe von Ioddämpfen).</t>
  </si>
  <si>
    <t>Xenon (griechisch xenos = fremd) wurde erstmalig aus Rohkrypton abgetrennt.</t>
  </si>
  <si>
    <t>Der Name ''Cäsium'' ist vom lateinischen ''caesius'' abgeleitet, was ''himmelblau'' bedeutet. Der Name nimmt Bezug auf die typischen Spektrallinien des Cäsiums, welche im blauen Bereich liegen,</t>
  </si>
  <si>
    <t>Barium nach dem vorher schon bekannten Baryt (von griech. „schwer“, wegen seiner großen Dichte).</t>
  </si>
  <si>
    <t>Lanthan (griechisch ''lanthanein'' = versteckt)</t>
  </si>
  <si>
    <t>Cer wurde nach dem Planetoiden Ceres benannt.</t>
  </si>
  <si>
    <t>Ytterbium (abgeleitet von Ytterby, einer Grube auf einer Schäreninsel nördlich von Stockholm, das für die Namen der Elemente Yttrium, Terbium und Erbium Pate stand) Marignac fand in der als Erbia bekannten Erde einen neuen Bestandteil und nannte ihn Ytterbia. Er vermutete in der von ihm isolierten Verbindung ein neues Element, das er Ytterbium nannte. 1907 trennte der französische Chemiker Georges Urbain Marignacs Ytterbia in zwei Komponenten, Neoytterbia und Lutetia. Später verkürzte man die Elementbezeichnung Neoytterbium zu Ytterbium.</t>
  </si>
  <si>
    <t>Lutetium wurde nach dem römischen Namen von Paris, ''Lutetia'', benannte.</t>
  </si>
  <si>
    <t>Hafnium (lat. ''Hafnia'' für Kopenhagen) wurde 1923 in Kopenhagen entdeckt.</t>
  </si>
  <si>
    <t>Tantal (''Tantalos'', griechische Mythologie) Lange Zeit hielt man Niob und Tantal für identisch. Erst 1844 konnte Heinrich Rose das unterschiedliche Verhalten von Niob- und Tantalsäure zeigen. Seinen Namen erhielt es in Anlehnung an die griechische Mythologie, da es unter der Säure "schmachten muss und seinen Durst nicht löschen kann, wie Tantalos in der Unterwelt". (Weil Ta&lt;small&gt;2&lt;/small&gt;O&lt;small&gt;5&lt;/small&gt; mit Säuren keine Salze bildet.)</t>
  </si>
  <si>
    <t>Rhenium (lat. ''Rhenus'' für Rhein)</t>
  </si>
  <si>
    <t>Osmium (griechisch ''osme'' für Geruch) wurde im Rückstand von in Königswasser aufgelöstem Platin entdeckt. Seinem rettichartigen Geruch verdankt das Element seinen Namen.</t>
  </si>
  <si>
    <t>Iridium (griechisch ''iris'' für Regenbogen) wurde beim Auflösen eines Rohplatins in Königswasser entdeckt. Die hohe Farbkraft der Iridiumsalze inspirierte zu dem Namen Iridium.</t>
  </si>
  <si>
    <t>Platin wurde von den Indianern Südamerikas benutzt. Der Name leitet sich vom spanischen Wort ''platina'', der Kleinerungsform von ''plata'' "Silber", ab.</t>
  </si>
  <si>
    <t>Thallium (griech. grüner Trieb oder grüner Spross, wegen seiner grünen Flammenfärbung) wurde spektroskopisch im Bleikammerschlamm einer Schwefelsäurefabrik anhand der charakteristischen grünen Spektrallinie entdeckt.</t>
  </si>
  <si>
    <t>Radon (von lat. radius = Strahl, wegen seiner Radioaktivität). Radon wurde 1900 erstmals von Friedrich Ernst Dorn entdeckt; er nannte es "Radium Emanation" ("aus Radium herausgehendes").</t>
  </si>
  <si>
    <t>'Francium'' (von franz. ''France'' = ''Frankreich'', dem Vaterland des Entdeckers),</t>
  </si>
  <si>
    <t>Radium (von lat. radius = Strahl)</t>
  </si>
  <si>
    <t>Der Name des Elements Actinium ist die latinisierte Form des griechischen Wortes (aktína = Strahl).</t>
  </si>
  <si>
    <t>Das  langlebige  Pa-231  (ca. 32000 Jahre) wurde 1918 von  Otto Hahn und Lise Meitner gefunden, sie nannten  es Protactinium  (das chemische Element, das in der Zerfallsreihe  des Uran-235 vor dem Actinium steht).</t>
  </si>
  <si>
    <t>Uran wurde aus dem Mineral Pechblende isoliert. Es ist nach dem Planeten Uranus benannt, der acht Jahre zuvor (1781) entdeckt worden war.</t>
  </si>
  <si>
    <t>Neptunium wurde benannt nach dem Planeten Neptun, der auf den Planeten Uranus folgt. Neptunium folgt im Periodensystem auf Uran, dann folgt Plutonium.</t>
  </si>
  <si>
    <t>Plutonium wurde nach dem Planeten Pluto benannt, der auf den Planeten Neptun folgt, Plutonium folgt im Periodensystem auf Neptunium.</t>
  </si>
  <si>
    <t>Americium nach einem Erdteil benannte Element.</t>
  </si>
  <si>
    <t>Curium wurde nach den Forschern Marie und Pierre Curie benannt.</t>
  </si>
  <si>
    <t>Berkelium wurde nach der Stadt Berkeley in Kalifornien benannt, wo es 1949 an der University of California entdeckt wurde.</t>
  </si>
  <si>
    <t>Californium wurde erstmalig an der University of California in Berkeley (Kalifornien) erzeugt.</t>
  </si>
  <si>
    <t>Einsteinium wurde zu Ehren Albert Einsteins benannt.</t>
  </si>
  <si>
    <t>Fermium wurde nach Enrico Fermi benannt.</t>
  </si>
  <si>
    <t xml:space="preserve">Mendelevium wurde nach dem russischen Chemiker und "Erfinder" des Periodensystems Mendelejew benannt. </t>
  </si>
  <si>
    <t>Nobelium wurde nach Alfred Nobel benannt.</t>
  </si>
  <si>
    <t>nach Ernest Rutherford</t>
  </si>
  <si>
    <t>nach dem russischen Kernforschungszentrum "Dubna (Moskau) benannt, in dem es entdeckt wurde</t>
  </si>
  <si>
    <t>Seaborgium zu Ehren des amerikanischen Chemikers Glenn Seaborg.</t>
  </si>
  <si>
    <t>Bohrium benannt nach Niels Bohr.</t>
  </si>
  <si>
    <t>Hassium wurde erstmals 1984 bei der GSI in Darmstadt erzeugt. Seit 1997 trägt es seinen aktuellen Namen, der sich vom lateinischen Namen ''Hassia'' für das Bundesland Hessen ableitet.</t>
  </si>
  <si>
    <t>Meitnerium, nach der österreichisch-schwedischen Physikerin und Mathematikerin Lise Meitner benannt.</t>
  </si>
  <si>
    <t>nach der Stadt Darmstadt getauft</t>
  </si>
  <si>
    <t>Zu Ehren des Physikers Wilhelm Conrad Röntgen benannt.</t>
  </si>
  <si>
    <t>Ununtrium soll 2003 erzeugt worden sein.</t>
  </si>
  <si>
    <t>Ununquadium wurde vermutlich erstmals 1999 erzeugt. Die Entdeckung wurde bei der IUPAC eingereicht, aber von dieser noch nicht bestätigt. Einen offiziellen Namen erhält das Element erst, wenn diese Bestätigung erfolgt ist.</t>
  </si>
  <si>
    <t>Der Name Ununhexium ist abgeleitet von lat. ''unus'' = eins (2x) und griech. ''hex'' = sechs - entsprechend der Ordnungszahl 116.</t>
  </si>
  <si>
    <t>Der Name Ununseptium ist abgeleitet von lat. ''unus'' = eins (2x) und griech. ''hepte'' = sieben - entsprechend der Ordnungszahl 117. Der Name ist bis zur Namensgebung durch den ersten Entdecker vorläufig.</t>
  </si>
  <si>
    <t>Ununoctium (von lat. ''unus'' = eins (2x) und lat. ''octo'' = acht - entsprechend der Ordnungszahl 118).</t>
  </si>
  <si>
    <t>Die Elementbezeichnug leitet sich von dem lateinischen ''calx'' ab. So bezeichneten die Römer Kalkstein, Kreide und daraus hergestellten Mörtel.</t>
  </si>
  <si>
    <t>Das griechische Wort prásinos bedeutet lauchgrün, didymos doppelt oder Zwilling. Im Jahr 1879 isolierte Paul Lecoq de Boisbaudran Samarium aus Didym, das er aus dem Mineral Samarskit gewann. 1885 gelang es, Didym in Praseodym und Neodym zu trennen, die beide Salze mit verschiedenen Farben bilden.</t>
  </si>
  <si>
    <t>Neodym wurde zusammen mit Praseodym aus dem Didym isoliert. Die Elementbezeichnung leitet sich von den griechischen Worten ''neos'' für neu und ''didymos'' für Zwilling ab.</t>
  </si>
  <si>
    <t>Promethium wurde 1945 als Spaltprodukt des Urans entdeckt. Den Namen '''Promethium''' wählte man in Anlehnung an den griechischen Titanen Prometheus, der den Menschen das Feuer brachte und so den Zorn der Götter erweckte. Dies war als Mahnung an die Menschheit gedacht, die zu diesem Zeitpunkt mit dem nukleares Wettrüsten|nuklearen Wettrüsten begann.</t>
  </si>
  <si>
    <t>Samarium nach dem Mineral Samarskit. Mineral- und Elementbezeichnung leiten sich ab von dem Russen Samarsky, der das Mineral entdeckte.</t>
  </si>
  <si>
    <t>Die Elementbezeichnung steht für den Kontinent Europa.</t>
  </si>
  <si>
    <t>Nach dem Entdecker des Minerals Gadolinit, dem finnischen Chemiker Johan Gadolin, Gadolinium.</t>
  </si>
  <si>
    <t>La</t>
  </si>
  <si>
    <t>Lanthan</t>
  </si>
  <si>
    <t>Ce</t>
  </si>
  <si>
    <t>Cer</t>
  </si>
  <si>
    <t>Pr</t>
  </si>
  <si>
    <t>Praseodym</t>
  </si>
  <si>
    <t>Österreich</t>
  </si>
  <si>
    <t>355.6</t>
  </si>
  <si>
    <t>Nd</t>
  </si>
  <si>
    <t>Neodym</t>
  </si>
  <si>
    <t>327.6</t>
  </si>
  <si>
    <t>Pm</t>
  </si>
  <si>
    <t>Promethium</t>
  </si>
  <si>
    <t>USA</t>
  </si>
  <si>
    <t>Sm</t>
  </si>
  <si>
    <t>Samarium</t>
  </si>
  <si>
    <t>206.7</t>
  </si>
  <si>
    <t>Eu</t>
  </si>
  <si>
    <t>Europium</t>
  </si>
  <si>
    <t>175.3</t>
  </si>
  <si>
    <t>Gd</t>
  </si>
  <si>
    <t>Gadolinium</t>
  </si>
  <si>
    <t>Schweiz</t>
  </si>
  <si>
    <t>397.5</t>
  </si>
  <si>
    <t>Tb</t>
  </si>
  <si>
    <t>Terbium</t>
  </si>
  <si>
    <t>388.7</t>
  </si>
  <si>
    <t>Dy</t>
  </si>
  <si>
    <t>Dysprosium</t>
  </si>
  <si>
    <t>290.4</t>
  </si>
  <si>
    <t>Ho</t>
  </si>
  <si>
    <t>Holmium</t>
  </si>
  <si>
    <t>300.8</t>
  </si>
  <si>
    <t>Er</t>
  </si>
  <si>
    <t>Erbium</t>
  </si>
  <si>
    <t>317.1</t>
  </si>
  <si>
    <t>Tm</t>
  </si>
  <si>
    <t>Thulium</t>
  </si>
  <si>
    <t>232.2</t>
  </si>
  <si>
    <t>Yb</t>
  </si>
  <si>
    <t>Ytterbium</t>
  </si>
  <si>
    <t>152.3</t>
  </si>
  <si>
    <t>Lu</t>
  </si>
  <si>
    <t>Lutetium</t>
  </si>
  <si>
    <t>427.6</t>
  </si>
  <si>
    <t>Hf</t>
  </si>
  <si>
    <t>Hafnium</t>
  </si>
  <si>
    <t>619.2</t>
  </si>
  <si>
    <t>Ta</t>
  </si>
  <si>
    <t>Tantal</t>
  </si>
  <si>
    <t>W</t>
  </si>
  <si>
    <t>Wolfram</t>
  </si>
  <si>
    <t>Spanien</t>
  </si>
  <si>
    <t>849.4</t>
  </si>
  <si>
    <t>Re</t>
  </si>
  <si>
    <t>Rhenium</t>
  </si>
  <si>
    <t>769.9</t>
  </si>
  <si>
    <t>Os</t>
  </si>
  <si>
    <t>Osmium</t>
  </si>
  <si>
    <t>blau-grau</t>
  </si>
  <si>
    <t>Ir</t>
  </si>
  <si>
    <t>Iridium</t>
  </si>
  <si>
    <t>665.3</t>
  </si>
  <si>
    <t>Pt</t>
  </si>
  <si>
    <t>Platin</t>
  </si>
  <si>
    <t>565.3</t>
  </si>
  <si>
    <t>Au</t>
  </si>
  <si>
    <t>Gold</t>
  </si>
  <si>
    <t>366.1</t>
  </si>
  <si>
    <t>Hg</t>
  </si>
  <si>
    <t>Quecksilber</t>
  </si>
  <si>
    <t>61.3</t>
  </si>
  <si>
    <t>Tl</t>
  </si>
  <si>
    <t>Thallium</t>
  </si>
  <si>
    <t>182.2</t>
  </si>
  <si>
    <t>grün</t>
  </si>
  <si>
    <t>Pb</t>
  </si>
  <si>
    <t>Blei</t>
  </si>
  <si>
    <t>Bi</t>
  </si>
  <si>
    <t>Bismut</t>
  </si>
  <si>
    <t>207.1</t>
  </si>
  <si>
    <t>weiß-rosa</t>
  </si>
  <si>
    <t>Po</t>
  </si>
  <si>
    <t>Polonium</t>
  </si>
  <si>
    <t>At</t>
  </si>
  <si>
    <t>Astat</t>
  </si>
  <si>
    <t>Rn</t>
  </si>
  <si>
    <t>Radon</t>
  </si>
  <si>
    <t>Fr</t>
  </si>
  <si>
    <t>Francium</t>
  </si>
  <si>
    <t>72.8</t>
  </si>
  <si>
    <t>Ra</t>
  </si>
  <si>
    <t>Radium</t>
  </si>
  <si>
    <t>Ac</t>
  </si>
  <si>
    <t>Actinium</t>
  </si>
  <si>
    <t>Th</t>
  </si>
  <si>
    <t>Thorium</t>
  </si>
  <si>
    <t>598.3</t>
  </si>
  <si>
    <t>Pa</t>
  </si>
  <si>
    <t>Protactinium</t>
  </si>
  <si>
    <t>U</t>
  </si>
  <si>
    <t>Uran</t>
  </si>
  <si>
    <t>535.6</t>
  </si>
  <si>
    <t>Np</t>
  </si>
  <si>
    <t>Neptunium</t>
  </si>
  <si>
    <t>Pu</t>
  </si>
  <si>
    <t>Plutonium</t>
  </si>
  <si>
    <t>Am</t>
  </si>
  <si>
    <t>Americium</t>
  </si>
  <si>
    <t>Cm</t>
  </si>
  <si>
    <t>Curium</t>
  </si>
  <si>
    <t>Bk</t>
  </si>
  <si>
    <t>Berkelium</t>
  </si>
  <si>
    <t>Cf</t>
  </si>
  <si>
    <t>Californium</t>
  </si>
  <si>
    <t>Es</t>
  </si>
  <si>
    <t>Einsteinium</t>
  </si>
  <si>
    <t>Fm</t>
  </si>
  <si>
    <t>Fermium</t>
  </si>
  <si>
    <t>Md</t>
  </si>
  <si>
    <t>Mendelevium</t>
  </si>
  <si>
    <t>No</t>
  </si>
  <si>
    <t>Nobelium</t>
  </si>
  <si>
    <t>Lw</t>
  </si>
  <si>
    <t>Lawrencium</t>
  </si>
  <si>
    <t>Rf</t>
  </si>
  <si>
    <t>Rutherfordium</t>
  </si>
  <si>
    <t>UdSSR</t>
  </si>
  <si>
    <t>Db</t>
  </si>
  <si>
    <t>Sg</t>
  </si>
  <si>
    <t>Seaborgium</t>
  </si>
  <si>
    <t>Bh</t>
  </si>
  <si>
    <t>Hs</t>
  </si>
  <si>
    <t>Mt</t>
  </si>
  <si>
    <t>Uub</t>
  </si>
  <si>
    <t>III B</t>
  </si>
  <si>
    <t>IV B</t>
  </si>
  <si>
    <t>V B</t>
  </si>
  <si>
    <t>VI B</t>
  </si>
  <si>
    <t>VII B</t>
  </si>
  <si>
    <t>VIII B</t>
  </si>
  <si>
    <t>I B</t>
  </si>
  <si>
    <t>II B</t>
  </si>
  <si>
    <t>2,46 g/cm³</t>
  </si>
  <si>
    <t>3,51 g/cm³</t>
  </si>
  <si>
    <t>2,70 g/cm³</t>
  </si>
  <si>
    <t>2,33 g/cm³</t>
  </si>
  <si>
    <t>1,82 g/cm³</t>
  </si>
  <si>
    <t>2,06 g/cm³</t>
  </si>
  <si>
    <t>2,99 g/cm³</t>
  </si>
  <si>
    <t>4,51 g/cm³</t>
  </si>
  <si>
    <t>6,09 g/cm³</t>
  </si>
  <si>
    <t>7,14 g/cm³</t>
  </si>
  <si>
    <t>7,44 g/cm³</t>
  </si>
  <si>
    <t>7,87 g/cm³</t>
  </si>
  <si>
    <t>8,89 g/cm³</t>
  </si>
  <si>
    <t>8,91 g/cm³</t>
  </si>
  <si>
    <t>8,92 g/cm³</t>
  </si>
  <si>
    <t>5,91 g/cm³</t>
  </si>
  <si>
    <t>5,32 g/cm³</t>
  </si>
  <si>
    <t>5,72 g/cm³</t>
  </si>
  <si>
    <t>4,82 g/cm³</t>
  </si>
  <si>
    <t>3,14 g/cm³</t>
  </si>
  <si>
    <t>4,47 g/cm³</t>
  </si>
  <si>
    <t>6,51 g/cm³</t>
  </si>
  <si>
    <t>8,58 g/cm³</t>
  </si>
  <si>
    <t>10,28 g/cm³</t>
  </si>
  <si>
    <t>11,49 g/cm³</t>
  </si>
  <si>
    <t>12,45 g/cm³</t>
  </si>
  <si>
    <t>12,41 g/cm³</t>
  </si>
  <si>
    <t>12,02 g/cm³</t>
  </si>
  <si>
    <t>10,49 g/cm³</t>
  </si>
  <si>
    <t>8,64 g/cm³</t>
  </si>
  <si>
    <t>7,31 g/cm³</t>
  </si>
  <si>
    <t>7,29 g/cm³</t>
  </si>
  <si>
    <t>6,69 g/cm³</t>
  </si>
  <si>
    <t>6,25 g/cm³</t>
  </si>
  <si>
    <t>4,94 g/cm³</t>
  </si>
  <si>
    <t>3,65 g/cm³</t>
  </si>
  <si>
    <t>6,16 g/cm³</t>
  </si>
  <si>
    <t>6,77 g/cm³</t>
  </si>
  <si>
    <t>6,48 g/cm³</t>
  </si>
  <si>
    <t>7,00 g/cm³</t>
  </si>
  <si>
    <t>7,22 g/cm³</t>
  </si>
  <si>
    <t>7,54 g/cm³</t>
  </si>
  <si>
    <t>5,25 g/cm³</t>
  </si>
  <si>
    <t>7,89 g/cm³</t>
  </si>
  <si>
    <t>8,25 g/cm³</t>
  </si>
  <si>
    <t>8,56 g/cm³</t>
  </si>
  <si>
    <t>8,78 g/cm³</t>
  </si>
  <si>
    <t>9,05 g/cm³</t>
  </si>
  <si>
    <t>9,32 g/cm³</t>
  </si>
  <si>
    <t>6,97 g/cm³</t>
  </si>
  <si>
    <t>9,84 g/cm³</t>
  </si>
  <si>
    <t>13,31 g/cm³</t>
  </si>
  <si>
    <t>16,68 g/cm³</t>
  </si>
  <si>
    <t>19,26 g/cm³</t>
  </si>
  <si>
    <t>21,03 g/cm³</t>
  </si>
  <si>
    <t>22,61 g/cm³</t>
  </si>
  <si>
    <t>22,65 g/cm³</t>
  </si>
  <si>
    <t>21,45 g/cm³</t>
  </si>
  <si>
    <t>19,32 g/cm³</t>
  </si>
  <si>
    <t>13,55 g/cm³</t>
  </si>
  <si>
    <t>11,85 g/cm³</t>
  </si>
  <si>
    <t>11,34 g/cm³</t>
  </si>
  <si>
    <t>9,80 g/cm³</t>
  </si>
  <si>
    <t>9,20 g/cm³</t>
  </si>
  <si>
    <t>k.A.</t>
  </si>
  <si>
    <t>5,50 g/cm³</t>
  </si>
  <si>
    <t>10,07 g/cm³</t>
  </si>
  <si>
    <t>11,72 g/cm³</t>
  </si>
  <si>
    <t>15,37 g/cm³</t>
  </si>
  <si>
    <t>18,97 g/cm³</t>
  </si>
  <si>
    <t>20,48 g/cm³</t>
  </si>
  <si>
    <t>19,74 g/cm³</t>
  </si>
  <si>
    <t>13,67 g/cm³</t>
  </si>
  <si>
    <t>13,51 g/cm³</t>
  </si>
  <si>
    <t>13,25 g/cm³</t>
  </si>
  <si>
    <t>15,1 g/cm³</t>
  </si>
  <si>
    <t>-253 °C</t>
  </si>
  <si>
    <t>-259 °C</t>
  </si>
  <si>
    <t>-269 °C</t>
  </si>
  <si>
    <t>-270 °C</t>
  </si>
  <si>
    <t>1330 °C</t>
  </si>
  <si>
    <t>180 °C</t>
  </si>
  <si>
    <t>2480 °C</t>
  </si>
  <si>
    <t>1280 °C</t>
  </si>
  <si>
    <t>3900 °C</t>
  </si>
  <si>
    <t>2030 °C</t>
  </si>
  <si>
    <t>4830 °C</t>
  </si>
  <si>
    <t>3730 °C</t>
  </si>
  <si>
    <t>-196 °C</t>
  </si>
  <si>
    <t>-210 °C</t>
  </si>
  <si>
    <t>-183 °C</t>
  </si>
  <si>
    <t>-219 °C</t>
  </si>
  <si>
    <t>-188 °C</t>
  </si>
  <si>
    <t>-220 °C</t>
  </si>
  <si>
    <t>-246 °C</t>
  </si>
  <si>
    <t>-249 °C</t>
  </si>
  <si>
    <t>892 °C</t>
  </si>
  <si>
    <t>98 °C</t>
  </si>
  <si>
    <t>1110 °C</t>
  </si>
  <si>
    <t>650 °C</t>
  </si>
  <si>
    <t>2450 °C</t>
  </si>
  <si>
    <t>660 °C</t>
  </si>
  <si>
    <t>2680 °C</t>
  </si>
  <si>
    <t>1410 °C</t>
  </si>
  <si>
    <t>280 °C</t>
  </si>
  <si>
    <t>44 °C</t>
  </si>
  <si>
    <t>445 °C</t>
  </si>
  <si>
    <t>113 °C</t>
  </si>
  <si>
    <t>-35 °C</t>
  </si>
  <si>
    <t>-101 °C</t>
  </si>
  <si>
    <t>-186 °C</t>
  </si>
  <si>
    <t>-189 °C</t>
  </si>
  <si>
    <t>760 °C</t>
  </si>
  <si>
    <t>64 °C</t>
  </si>
  <si>
    <t>1490 °C</t>
  </si>
  <si>
    <t>838 °C</t>
  </si>
  <si>
    <t>2730 °C</t>
  </si>
  <si>
    <t>1540 °C</t>
  </si>
  <si>
    <t>3260 °C</t>
  </si>
  <si>
    <t>1670 °C</t>
  </si>
  <si>
    <t>3450 °C</t>
  </si>
  <si>
    <t>1900 °C</t>
  </si>
  <si>
    <t>2642 °C</t>
  </si>
  <si>
    <t>2100 °C</t>
  </si>
  <si>
    <t>1250 °C</t>
  </si>
  <si>
    <t>3000 °C</t>
  </si>
  <si>
    <t>2900 °C</t>
  </si>
  <si>
    <t>1450 °C</t>
  </si>
  <si>
    <t>2600 °C</t>
  </si>
  <si>
    <t>1083 °C</t>
  </si>
  <si>
    <t>906 °C</t>
  </si>
  <si>
    <t>419 °C</t>
  </si>
  <si>
    <t>2400 °C</t>
  </si>
  <si>
    <t>30 °C</t>
  </si>
  <si>
    <t>2830 °C</t>
  </si>
  <si>
    <t>937 °C</t>
  </si>
  <si>
    <t>613 °C</t>
  </si>
  <si>
    <t>817 °C</t>
  </si>
  <si>
    <t>685 °C</t>
  </si>
  <si>
    <t>217 °C</t>
  </si>
  <si>
    <t>58 °C</t>
  </si>
  <si>
    <t>-7 °C</t>
  </si>
  <si>
    <t>-152 °C</t>
  </si>
  <si>
    <t>-157 °C</t>
  </si>
  <si>
    <t>688 °C</t>
  </si>
  <si>
    <t>39 °C</t>
  </si>
  <si>
    <t>1380 °C</t>
  </si>
  <si>
    <t>770 °C</t>
  </si>
  <si>
    <t>2930 °C</t>
  </si>
  <si>
    <t>1500 °C</t>
  </si>
  <si>
    <t>3580 °C</t>
  </si>
  <si>
    <t>1850 °C</t>
  </si>
  <si>
    <t>4900 °C</t>
  </si>
  <si>
    <t>2420 °C</t>
  </si>
  <si>
    <t>5560 °C</t>
  </si>
  <si>
    <t>2610 °C</t>
  </si>
  <si>
    <t>4600 °C</t>
  </si>
  <si>
    <t>2140 °C</t>
  </si>
  <si>
    <t>2300 °C</t>
  </si>
  <si>
    <t>1970 °C</t>
  </si>
  <si>
    <t>3125 °C</t>
  </si>
  <si>
    <t>1550 °C</t>
  </si>
  <si>
    <t>2210 °C</t>
  </si>
  <si>
    <t>961 °C</t>
  </si>
  <si>
    <t>765 °C</t>
  </si>
  <si>
    <t>321 °C</t>
  </si>
  <si>
    <t>2000 °C</t>
  </si>
  <si>
    <t>156 °C</t>
  </si>
  <si>
    <t>2270 °C</t>
  </si>
  <si>
    <t>232 °C</t>
  </si>
  <si>
    <t>631 °C</t>
  </si>
  <si>
    <t>1390 °C</t>
  </si>
  <si>
    <t>450 °C</t>
  </si>
  <si>
    <t>183 °C</t>
  </si>
  <si>
    <t>114 °C</t>
  </si>
  <si>
    <t>-108 °C</t>
  </si>
  <si>
    <t>-112 °C</t>
  </si>
  <si>
    <t>690 °C</t>
  </si>
  <si>
    <t>29 °C</t>
  </si>
  <si>
    <t>1640 °C</t>
  </si>
  <si>
    <t>714 °C</t>
  </si>
  <si>
    <t>3470 °C</t>
  </si>
  <si>
    <t>920 °C</t>
  </si>
  <si>
    <t>795 °C</t>
  </si>
  <si>
    <t>3130 °C</t>
  </si>
  <si>
    <t>935 °C</t>
  </si>
  <si>
    <t>3030 °C</t>
  </si>
  <si>
    <t>1020 °C</t>
  </si>
  <si>
    <t>1030 °C</t>
  </si>
  <si>
    <t>1070 °C</t>
  </si>
  <si>
    <t>1440 °C</t>
  </si>
  <si>
    <t>826 °C</t>
  </si>
  <si>
    <t>1310 °C</t>
  </si>
  <si>
    <t>2800 °C</t>
  </si>
  <si>
    <t>1360 °C</t>
  </si>
  <si>
    <t>1460 °C</t>
  </si>
  <si>
    <t>1730 °C</t>
  </si>
  <si>
    <t>1430 °C</t>
  </si>
  <si>
    <t>824 °C</t>
  </si>
  <si>
    <t>3330 °C</t>
  </si>
  <si>
    <t>1650 °C</t>
  </si>
  <si>
    <t>5400 °C</t>
  </si>
  <si>
    <t>5430 °C</t>
  </si>
  <si>
    <t>5930 °C</t>
  </si>
  <si>
    <t>3410 °C</t>
  </si>
  <si>
    <t>5630 °C</t>
  </si>
  <si>
    <t>3180 °C</t>
  </si>
  <si>
    <t>5500 °C</t>
  </si>
  <si>
    <t>4500 °C</t>
  </si>
  <si>
    <t>3825 °C</t>
  </si>
  <si>
    <t>1770 °C</t>
  </si>
  <si>
    <t>2970 °C</t>
  </si>
  <si>
    <t>1063 °C</t>
  </si>
  <si>
    <t>357 °C</t>
  </si>
  <si>
    <t>-39 °C</t>
  </si>
  <si>
    <t>303 °C</t>
  </si>
  <si>
    <t>1740 °C</t>
  </si>
  <si>
    <t>327 °C</t>
  </si>
  <si>
    <t>1560 °C</t>
  </si>
  <si>
    <t>271 °C</t>
  </si>
  <si>
    <t>962 °C</t>
  </si>
  <si>
    <t>254 °C</t>
  </si>
  <si>
    <t>335 °C</t>
  </si>
  <si>
    <t>302 °C</t>
  </si>
  <si>
    <t>-62 °C</t>
  </si>
  <si>
    <t>-71 °C</t>
  </si>
  <si>
    <t>680 °C</t>
  </si>
  <si>
    <t>27 °C</t>
  </si>
  <si>
    <t>1530 °C</t>
  </si>
  <si>
    <t>700 °C</t>
  </si>
  <si>
    <t>3200 °C</t>
  </si>
  <si>
    <t>1050 °C</t>
  </si>
  <si>
    <t>4200 °C</t>
  </si>
  <si>
    <t>1700 °C</t>
  </si>
  <si>
    <t>- °C</t>
  </si>
  <si>
    <t>1230 °C</t>
  </si>
  <si>
    <t>3818 °C</t>
  </si>
  <si>
    <t>1130 °C</t>
  </si>
  <si>
    <t>640 °C</t>
  </si>
  <si>
    <t>3235 °C</t>
  </si>
  <si>
    <t>850 °C</t>
  </si>
  <si>
    <t>3100 °C</t>
  </si>
  <si>
    <t>1343 °C</t>
  </si>
  <si>
    <t>986 °C</t>
  </si>
  <si>
    <t>900 °C</t>
  </si>
  <si>
    <t>860 °C</t>
  </si>
  <si>
    <t>Elektronegativität</t>
  </si>
  <si>
    <t>Atommasse in u</t>
  </si>
  <si>
    <t>Schmelztemperatur</t>
  </si>
  <si>
    <t>Siedetemperatur</t>
  </si>
  <si>
    <t>Atomradius</t>
  </si>
  <si>
    <t>1.</t>
  </si>
  <si>
    <t>2.</t>
  </si>
  <si>
    <t>3.</t>
  </si>
  <si>
    <t>4.</t>
  </si>
  <si>
    <t>5.</t>
  </si>
  <si>
    <t>6.</t>
  </si>
  <si>
    <t>7.</t>
  </si>
  <si>
    <t>Nebengruppen</t>
  </si>
  <si>
    <t>PSE - alphabetische Sortierung</t>
  </si>
  <si>
    <t xml:space="preserve">  nach Namen:</t>
  </si>
  <si>
    <t xml:space="preserve">  nach Abkürzungen:</t>
  </si>
  <si>
    <r>
      <t>A</t>
    </r>
    <r>
      <rPr>
        <sz val="10"/>
        <rFont val="Arial"/>
        <family val="2"/>
      </rPr>
      <t>ctinium</t>
    </r>
  </si>
  <si>
    <r>
      <t>P</t>
    </r>
    <r>
      <rPr>
        <sz val="10"/>
        <rFont val="Arial"/>
        <family val="2"/>
      </rPr>
      <t>alladium</t>
    </r>
  </si>
  <si>
    <r>
      <t>B</t>
    </r>
    <r>
      <rPr>
        <sz val="10"/>
        <rFont val="Arial"/>
        <family val="2"/>
      </rPr>
      <t>arium</t>
    </r>
  </si>
  <si>
    <r>
      <t>C</t>
    </r>
    <r>
      <rPr>
        <sz val="10"/>
        <rFont val="Arial"/>
        <family val="2"/>
      </rPr>
      <t>admium</t>
    </r>
  </si>
  <si>
    <r>
      <t>R</t>
    </r>
    <r>
      <rPr>
        <sz val="10"/>
        <rFont val="Arial"/>
        <family val="2"/>
      </rPr>
      <t>adium</t>
    </r>
  </si>
  <si>
    <r>
      <t>S</t>
    </r>
    <r>
      <rPr>
        <sz val="10"/>
        <rFont val="Arial"/>
        <family val="2"/>
      </rPr>
      <t>amarium</t>
    </r>
  </si>
  <si>
    <r>
      <t>D</t>
    </r>
    <r>
      <rPr>
        <sz val="10"/>
        <rFont val="Arial"/>
        <family val="2"/>
      </rPr>
      <t>ysprosium</t>
    </r>
  </si>
  <si>
    <r>
      <t>E</t>
    </r>
    <r>
      <rPr>
        <sz val="10"/>
        <rFont val="Arial"/>
        <family val="2"/>
      </rPr>
      <t>insteinium</t>
    </r>
  </si>
  <si>
    <r>
      <t>G</t>
    </r>
    <r>
      <rPr>
        <sz val="10"/>
        <rFont val="Arial"/>
        <family val="2"/>
      </rPr>
      <t>adolinium</t>
    </r>
  </si>
  <si>
    <r>
      <t>T</t>
    </r>
    <r>
      <rPr>
        <sz val="10"/>
        <rFont val="Arial"/>
        <family val="2"/>
      </rPr>
      <t>antal</t>
    </r>
  </si>
  <si>
    <r>
      <t>H</t>
    </r>
    <r>
      <rPr>
        <sz val="10"/>
        <rFont val="Arial"/>
        <family val="2"/>
      </rPr>
      <t>afnium</t>
    </r>
  </si>
  <si>
    <r>
      <t>I</t>
    </r>
    <r>
      <rPr>
        <sz val="10"/>
        <rFont val="Arial"/>
        <family val="2"/>
      </rPr>
      <t>ndium</t>
    </r>
  </si>
  <si>
    <r>
      <t>K</t>
    </r>
    <r>
      <rPr>
        <sz val="10"/>
        <rFont val="Arial"/>
        <family val="2"/>
      </rPr>
      <t>alium</t>
    </r>
  </si>
  <si>
    <r>
      <t>W</t>
    </r>
    <r>
      <rPr>
        <sz val="10"/>
        <rFont val="Arial"/>
        <family val="2"/>
      </rPr>
      <t>asserstoff</t>
    </r>
  </si>
  <si>
    <r>
      <t>Y</t>
    </r>
    <r>
      <rPr>
        <sz val="10"/>
        <rFont val="Arial"/>
        <family val="2"/>
      </rPr>
      <t>tterbium</t>
    </r>
  </si>
  <si>
    <r>
      <t>L</t>
    </r>
    <r>
      <rPr>
        <sz val="10"/>
        <rFont val="Arial"/>
        <family val="2"/>
      </rPr>
      <t>anthan</t>
    </r>
  </si>
  <si>
    <r>
      <t>Z</t>
    </r>
    <r>
      <rPr>
        <sz val="10"/>
        <rFont val="Arial"/>
        <family val="2"/>
      </rPr>
      <t>ink</t>
    </r>
  </si>
  <si>
    <r>
      <t>M</t>
    </r>
    <r>
      <rPr>
        <sz val="10"/>
        <rFont val="Arial"/>
        <family val="2"/>
      </rPr>
      <t>agnesium</t>
    </r>
  </si>
  <si>
    <r>
      <t>N</t>
    </r>
    <r>
      <rPr>
        <sz val="10"/>
        <rFont val="Arial"/>
        <family val="2"/>
      </rPr>
      <t>atrium</t>
    </r>
  </si>
  <si>
    <t>0,534 g/cm³</t>
  </si>
  <si>
    <t>0,971 g/cm³</t>
  </si>
  <si>
    <t>0,862 g/cm³</t>
  </si>
  <si>
    <t>1,532 g/cm³</t>
  </si>
  <si>
    <t>1,873 g/cm³</t>
  </si>
  <si>
    <t>1,86 g/cm³</t>
  </si>
  <si>
    <t>1,75 g/cm³</t>
  </si>
  <si>
    <t>1,55 g/cm³</t>
  </si>
  <si>
    <t>2,64 g/cm³</t>
  </si>
  <si>
    <t>biatomar</t>
  </si>
  <si>
    <t>Metalle</t>
  </si>
  <si>
    <t>Lr</t>
  </si>
  <si>
    <t>Dubnium</t>
  </si>
  <si>
    <t>Bohrium</t>
  </si>
  <si>
    <t>Hassium</t>
  </si>
  <si>
    <t>Meitnerium</t>
  </si>
  <si>
    <t>Ds</t>
  </si>
  <si>
    <t>Darmstadtium</t>
  </si>
  <si>
    <t>Roentgenium</t>
  </si>
  <si>
    <t>Rg</t>
  </si>
  <si>
    <t>Ununbium</t>
  </si>
  <si>
    <t>Uut</t>
  </si>
  <si>
    <t xml:space="preserve">Ununtrium </t>
  </si>
  <si>
    <t>Ununquadium</t>
  </si>
  <si>
    <t>Ununhexium</t>
  </si>
  <si>
    <t>Uuq</t>
  </si>
  <si>
    <t>Uup</t>
  </si>
  <si>
    <t>Uuh</t>
  </si>
  <si>
    <t>Ununoctium</t>
  </si>
  <si>
    <t>Ununpentium</t>
  </si>
  <si>
    <t>Ununseptium</t>
  </si>
  <si>
    <t>Uus</t>
  </si>
  <si>
    <t>Uuo</t>
  </si>
  <si>
    <r>
      <t xml:space="preserve"> in pm (10</t>
    </r>
    <r>
      <rPr>
        <vertAlign val="superscript"/>
        <sz val="8"/>
        <rFont val="Arial"/>
        <family val="2"/>
      </rPr>
      <t>-12</t>
    </r>
    <r>
      <rPr>
        <sz val="8"/>
        <rFont val="Arial"/>
        <family val="2"/>
      </rPr>
      <t>m)</t>
    </r>
  </si>
  <si>
    <r>
      <t>D</t>
    </r>
    <r>
      <rPr>
        <sz val="10"/>
        <rFont val="Arial"/>
        <family val="2"/>
      </rPr>
      <t>armstadtium</t>
    </r>
  </si>
  <si>
    <t>Caesium</t>
  </si>
  <si>
    <t>Elektronenkonfiguration</t>
  </si>
  <si>
    <t>1s2</t>
  </si>
  <si>
    <t>1s1</t>
  </si>
  <si>
    <t>[He] 2s1</t>
  </si>
  <si>
    <t>[He] 2s2</t>
  </si>
  <si>
    <t>[He] 2s2p1</t>
  </si>
  <si>
    <t>[He] 2s2p2</t>
  </si>
  <si>
    <t>[He] 2s2p3</t>
  </si>
  <si>
    <t>[He] 2s2p4</t>
  </si>
  <si>
    <t>[He] 2s2p5</t>
  </si>
  <si>
    <t>[He] 2s2p6</t>
  </si>
  <si>
    <t>[Ne] 3s1</t>
  </si>
  <si>
    <t>[Ne] 3s2</t>
  </si>
  <si>
    <t>[Ne] 3s2p1</t>
  </si>
  <si>
    <t>[Ne] 3s2p2</t>
  </si>
  <si>
    <t>[Ne] 3s2p3</t>
  </si>
  <si>
    <t>[Ne] 3s2p4</t>
  </si>
  <si>
    <t>[Ne] 3s2p5</t>
  </si>
  <si>
    <t>[Ne] 3s2p6</t>
  </si>
  <si>
    <t>[Ar] 4s1</t>
  </si>
  <si>
    <t>[Ar] 4s2</t>
  </si>
  <si>
    <t>[Ar] 4s2 3d1</t>
  </si>
  <si>
    <t>[Ar] 4s2 3d2</t>
  </si>
  <si>
    <t>[Ar] 4s2 3d3</t>
  </si>
  <si>
    <t>[Ar] 4s1 3d5</t>
  </si>
  <si>
    <t>[Ar] 4s2 3d5</t>
  </si>
  <si>
    <t>[Ar] 4s2 3d6</t>
  </si>
  <si>
    <t>[Ar] 4s2 3d7</t>
  </si>
  <si>
    <t>[Ar] 4s2 3d8</t>
  </si>
  <si>
    <t>[Ar] 4s1 3d10</t>
  </si>
  <si>
    <t>[Ar] 4s2 3d10</t>
  </si>
  <si>
    <t>[Ar] 4s2 3d10 4p1</t>
  </si>
  <si>
    <t>[Ar] 4s2 3d10 4p2</t>
  </si>
  <si>
    <t>[Ar] 4s2 3d10 4p3</t>
  </si>
  <si>
    <t>[Ar] 4s2 3d10 4p4</t>
  </si>
  <si>
    <t>[Ar] 4s2 3d10 4p5</t>
  </si>
  <si>
    <t>[Ar] 4s2 3d10 4p6</t>
  </si>
  <si>
    <t>[Kr] 5s1</t>
  </si>
  <si>
    <t>[Kr] 5s2</t>
  </si>
  <si>
    <t>[Xe] 6s1</t>
  </si>
  <si>
    <t>[Xe] 6s2</t>
  </si>
  <si>
    <t>[Rn] 7s1</t>
  </si>
  <si>
    <t>[Rn] 7s2</t>
  </si>
  <si>
    <t>[Kr] 5s2 4d1</t>
  </si>
  <si>
    <t>[Kr] 5s2 4d2</t>
  </si>
  <si>
    <t>[Kr] 5s1 4d4</t>
  </si>
  <si>
    <t>[Kr] 5s1 4d5</t>
  </si>
  <si>
    <t>[Kr] 5s1 4d6</t>
  </si>
  <si>
    <t>[Kr] 5s1 4d7</t>
  </si>
  <si>
    <t>[Kr] 5s1 4d8</t>
  </si>
  <si>
    <t>[Kr] 4d10</t>
  </si>
  <si>
    <t>[Kr] 5s1 4d10</t>
  </si>
  <si>
    <t>[Kr] 5s2 4d10</t>
  </si>
  <si>
    <t>[Xe] 6s2 4f2</t>
  </si>
  <si>
    <t>[Xe] 6s2 4f3</t>
  </si>
  <si>
    <t>[Xe] 6s2 4f4 </t>
  </si>
  <si>
    <t>[Xe] 6s2 4f5</t>
  </si>
  <si>
    <t>[Xe] 6s2 4f6</t>
  </si>
  <si>
    <t>[Xe] 6s2 4f7</t>
  </si>
  <si>
    <t>[Xe] 6s2 4f9</t>
  </si>
  <si>
    <t>[Xe] 6s2 4f10</t>
  </si>
  <si>
    <t>[Xe] 6s2 4f11</t>
  </si>
  <si>
    <t>[Xe] 6s2 4f12</t>
  </si>
  <si>
    <t>[Xe] 6s2 4f13</t>
  </si>
  <si>
    <t>[Xe] 6s2 4f14</t>
  </si>
  <si>
    <t>[Kr] 5s2 4d10 5p1</t>
  </si>
  <si>
    <t>[Kr] 5s2 4d10 5p2</t>
  </si>
  <si>
    <t>[Kr] 5s2 4d10 5p3</t>
  </si>
  <si>
    <t>[Kr] 5s2 4d10 5p4</t>
  </si>
  <si>
    <t>[Kr] 5s2 4d10 5p5</t>
  </si>
  <si>
    <t>[Kr] 5s2 4d10 5p6</t>
  </si>
  <si>
    <t>[Xe] 6s2 5d1</t>
  </si>
  <si>
    <t>[Xe] 6s2 4f7 5d1</t>
  </si>
  <si>
    <t>[Xe] 6s2 4f14 5d1</t>
  </si>
  <si>
    <t>[Xe] 6s2 4f14 5d2</t>
  </si>
  <si>
    <t>[Xe] 6s2 4f14 5d3</t>
  </si>
  <si>
    <t>[Xe] 6s2 4f14 5d4</t>
  </si>
  <si>
    <t>[Xe] 6s2 4f14 5d5</t>
  </si>
  <si>
    <t>[Xe] 6s2 4f14 5d6</t>
  </si>
  <si>
    <t>[Xe] 6s2 4f14 5d7</t>
  </si>
  <si>
    <t>[Xe] 6s1 4f14 5d9</t>
  </si>
  <si>
    <t>[Xe] 6s1 4f14 5d10</t>
  </si>
  <si>
    <t>[Xe] 6s2 4f14 5d10</t>
  </si>
  <si>
    <t>[Rn] 7s2 5f6</t>
  </si>
  <si>
    <t>[Rn] 7s2 5f7</t>
  </si>
  <si>
    <t>[Rn] 7s2 5f9</t>
  </si>
  <si>
    <t>[Rn] 7s2 5f10</t>
  </si>
  <si>
    <t>[Rn] 7s2 5f11</t>
  </si>
  <si>
    <t>[Rn] 7s2 5f12</t>
  </si>
  <si>
    <t>[Rn] 7s2 5f13</t>
  </si>
  <si>
    <t>[Rn] 7s2 5f14</t>
  </si>
  <si>
    <t>[Rn] 7s2 6d1</t>
  </si>
  <si>
    <t>[Rn] 7s2 6d2</t>
  </si>
  <si>
    <t>[Rn] 7s2 6d1 5f2</t>
  </si>
  <si>
    <t>[Rn] 7s2 6d1 5f3</t>
  </si>
  <si>
    <t>[Rn] 7s2 6d1 5f4</t>
  </si>
  <si>
    <t>[Rn] 7s2 6d1 5f7</t>
  </si>
  <si>
    <t>[Rn] 7s2 6d1 5f14</t>
  </si>
  <si>
    <t>[Xe] 6s2 4f14 5d10 6p1</t>
  </si>
  <si>
    <t>[Xe] 6s2 4f14 5d10 6p2</t>
  </si>
  <si>
    <t>[Xe] 6s2 4f14 5d10 6p3</t>
  </si>
  <si>
    <t>[Xe] 6s2 4f14 5d10 6p4</t>
  </si>
  <si>
    <t>[Xe] 6s2 4f14 5d10 6p5</t>
  </si>
  <si>
    <t>[Xe] 6s2 4f14 5d10 6p6</t>
  </si>
  <si>
    <t>EK-Wiki</t>
  </si>
  <si>
    <t>[He] 2s&lt;sup&gt;1&lt;/sup&gt;</t>
  </si>
  <si>
    <t>[Ne] 3s&lt;sup&gt;1&lt;/sup&gt;</t>
  </si>
  <si>
    <t>[Ar] 4s&lt;sup&gt;1&lt;/sup&gt;</t>
  </si>
  <si>
    <t>[Kr] 5s&lt;sup&gt;1&lt;/sup&gt;</t>
  </si>
  <si>
    <t>[Xe] 6s&lt;sup&gt;1&lt;/sup&gt;</t>
  </si>
  <si>
    <t>[Rn] 7s&lt;sup&gt;1&lt;/sup&gt;</t>
  </si>
  <si>
    <t>1s&lt;sup&gt;1&lt;/sup&gt;</t>
  </si>
  <si>
    <t>1s&lt;sup&gt;2&lt;/sup&gt;</t>
  </si>
  <si>
    <t>[He] 2s&lt;sup&gt;2&lt;/sup&gt;</t>
  </si>
  <si>
    <t>[Ne] 3s&lt;sup&gt;2&lt;/sup&gt;</t>
  </si>
  <si>
    <t>[Ar] 4s&lt;sup&gt;2&lt;/sup&gt;</t>
  </si>
  <si>
    <t>[Kr] 5s&lt;sup&gt;2&lt;/sup&gt;</t>
  </si>
  <si>
    <t>[Xe] 6s&lt;sup&gt;2&lt;/sup&gt;</t>
  </si>
  <si>
    <t>[Xe] 6s&lt;sup&gt;2&lt;/sup&gt; 4f3</t>
  </si>
  <si>
    <t>[Rn] 7s&lt;sup&gt;2&lt;/sup&gt;</t>
  </si>
  <si>
    <t>[He] 2s&lt;sup&gt;2&lt;/sup&gt;p&lt;sup&gt;1&lt;/sup&gt;</t>
  </si>
  <si>
    <t>[Ne] 3s&lt;sup&gt;2&lt;/sup&gt;p&lt;sup&gt;1&lt;/sup&gt;</t>
  </si>
  <si>
    <t>[He] 2s&lt;sup&gt;2&lt;/sup&gt;p&lt;sup&gt;2&lt;/sup&gt;</t>
  </si>
  <si>
    <t>[Ne] 3s&lt;sup&gt;2&lt;/sup&gt;p&lt;sup&gt;2&lt;/sup&gt;</t>
  </si>
  <si>
    <t>[He] 2s&lt;sup&gt;2&lt;/sup&gt;p&lt;sup&gt;3&lt;/sup&gt;</t>
  </si>
  <si>
    <t>[Ne] 3s&lt;sup&gt;2&lt;/sup&gt;p&lt;sup&gt;3&lt;/sup&gt;</t>
  </si>
  <si>
    <t>[He] 2s&lt;sup&gt;2&lt;/sup&gt;p&lt;sup&gt;4&lt;/sup&gt;</t>
  </si>
  <si>
    <t>[Ne] 3s&lt;sup&gt;2&lt;/sup&gt;p&lt;sup&gt;4&lt;/sup&gt;</t>
  </si>
  <si>
    <t>[He] 2s&lt;sup&gt;2&lt;/sup&gt;p&lt;sup&gt;5&lt;/sup&gt;</t>
  </si>
  <si>
    <t>[Ne] 3s&lt;sup&gt;2&lt;/sup&gt;p&lt;sup&gt;5&lt;/sup&gt;</t>
  </si>
  <si>
    <t>[He] 2s&lt;sup&gt;2&lt;/sup&gt;p&lt;sup&gt;6&lt;/sup&gt;</t>
  </si>
  <si>
    <t>[Ne] 3s&lt;sup&gt;2&lt;/sup&gt;p&lt;sup&gt;6&lt;/sup&gt;</t>
  </si>
  <si>
    <t>[Ar] 4s&lt;sup&gt;2&lt;/sup&gt; 3d&lt;sup&gt;1&lt;/sup&gt;</t>
  </si>
  <si>
    <t>[Kr] 5s&lt;sup&gt;2&lt;/sup&gt; 4d&lt;sup&gt;1&lt;/sup&gt;</t>
  </si>
  <si>
    <t>[Xe] 6s&lt;sup&gt;2&lt;/sup&gt; 5d&lt;sup&gt;1&lt;/sup&gt;</t>
  </si>
  <si>
    <t>[Rn] 7s&lt;sup&gt;2&lt;/sup&gt; 6d&lt;sup&gt;1&lt;/sup&gt;</t>
  </si>
  <si>
    <t>[Rn] 7s&lt;sup&gt;2&lt;/sup&gt; 6d&lt;sup&gt;1&lt;/sup&gt; 5f3</t>
  </si>
  <si>
    <t>[Ar] 4s&lt;sup&gt;2&lt;/sup&gt; 3d&lt;sup&gt;2&lt;/sup&gt;</t>
  </si>
  <si>
    <t>[Kr] 5s&lt;sup&gt;2&lt;/sup&gt; 4d&lt;sup&gt;2&lt;/sup&gt;</t>
  </si>
  <si>
    <t>[Rn] 7s&lt;sup&gt;2&lt;/sup&gt; 6d&lt;sup&gt;2&lt;/sup&gt;</t>
  </si>
  <si>
    <t>[Ar] 4s&lt;sup&gt;2&lt;/sup&gt; 3d&lt;sup&gt;3&lt;/sup&gt;</t>
  </si>
  <si>
    <t>[Kr] 5s&lt;sup&gt;1&lt;/sup&gt; 4d&lt;sup&gt;4&lt;/sup&gt;</t>
  </si>
  <si>
    <t>[Ar] 4s&lt;sup&gt;1&lt;/sup&gt; 3d&lt;sup&gt;5&lt;/sup&gt;</t>
  </si>
  <si>
    <t>[Ar] 4s&lt;sup&gt;2&lt;/sup&gt; 3d&lt;sup&gt;5&lt;/sup&gt;</t>
  </si>
  <si>
    <t>[Kr] 5s&lt;sup&gt;1&lt;/sup&gt; 4d&lt;sup&gt;5&lt;/sup&gt;</t>
  </si>
  <si>
    <t>[Ar] 4s&lt;sup&gt;2&lt;/sup&gt; 3d&lt;sup&gt;6&lt;/sup&gt;</t>
  </si>
  <si>
    <t>[Kr] 5s&lt;sup&gt;1&lt;/sup&gt; 4d&lt;sup&gt;6&lt;/sup&gt;</t>
  </si>
  <si>
    <t>[Ar] 4s&lt;sup&gt;2&lt;/sup&gt; 3d&lt;sup&gt;7&lt;/sup&gt;</t>
  </si>
  <si>
    <t>[Kr] 5s&lt;sup&gt;1&lt;/sup&gt; 4d&lt;sup&gt;7&lt;/sup&gt;</t>
  </si>
  <si>
    <t>[Ar] 4s&lt;sup&gt;2&lt;/sup&gt; 3d&lt;sup&gt;8&lt;/sup&gt;</t>
  </si>
  <si>
    <t>[Kr] 5s&lt;sup&gt;1&lt;/sup&gt; 4d&lt;sup&gt;8&lt;/sup&gt;</t>
  </si>
  <si>
    <t>[Ar] 4s&lt;sup&gt;1&lt;/sup&gt; 3d&lt;sup&gt;10&lt;/sup&gt;</t>
  </si>
  <si>
    <t>[Ar] 4s&lt;sup&gt;2&lt;/sup&gt; 3d&lt;sup&gt;10&lt;/sup&gt;</t>
  </si>
  <si>
    <t>[Ar] 4s&lt;sup&gt;2&lt;/sup&gt; 3d&lt;sup&gt;10&lt;/sup&gt; 4p&lt;sup&gt;1&lt;/sup&gt;</t>
  </si>
  <si>
    <t>[Ar] 4s&lt;sup&gt;2&lt;/sup&gt; 3d&lt;sup&gt;10&lt;/sup&gt; 4p&lt;sup&gt;2&lt;/sup&gt;</t>
  </si>
  <si>
    <t>[Ar] 4s&lt;sup&gt;2&lt;/sup&gt; 3d&lt;sup&gt;10&lt;/sup&gt; 4p&lt;sup&gt;3&lt;/sup&gt;</t>
  </si>
  <si>
    <t>[Ar] 4s&lt;sup&gt;2&lt;/sup&gt; 3d&lt;sup&gt;10&lt;/sup&gt; 4p&lt;sup&gt;4&lt;/sup&gt;</t>
  </si>
  <si>
    <t>[Ar] 4s&lt;sup&gt;2&lt;/sup&gt; 3d&lt;sup&gt;10&lt;/sup&gt; 4p&lt;sup&gt;5&lt;/sup&gt;</t>
  </si>
  <si>
    <t>[Ar] 4s&lt;sup&gt;2&lt;/sup&gt; 3d&lt;sup&gt;10&lt;/sup&gt; 4p&lt;sup&gt;6&lt;/sup&gt;</t>
  </si>
  <si>
    <t>[Kr] 4d&lt;sup&gt;10&lt;/sup&gt;</t>
  </si>
  <si>
    <t>[Kr] 5s&lt;sup&gt;1&lt;/sup&gt; 4d&lt;sup&gt;10&lt;/sup&gt;</t>
  </si>
  <si>
    <t>[Kr] 5s&lt;sup&gt;2&lt;/sup&gt; 4d&lt;sup&gt;10&lt;/sup&gt;</t>
  </si>
  <si>
    <t>[Kr] 5s&lt;sup&gt;2&lt;/sup&gt; 4d&lt;sup&gt;10&lt;/sup&gt; 5p&lt;sup&gt;1&lt;/sup&gt;</t>
  </si>
  <si>
    <t>[Kr] 5s&lt;sup&gt;2&lt;/sup&gt; 4d&lt;sup&gt;10&lt;/sup&gt; 5p&lt;sup&gt;2&lt;/sup&gt;</t>
  </si>
  <si>
    <t>[Kr] 5s&lt;sup&gt;2&lt;/sup&gt; 4d&lt;sup&gt;10&lt;/sup&gt; 5p&lt;sup&gt;3&lt;/sup&gt;</t>
  </si>
  <si>
    <t>[Kr] 5s&lt;sup&gt;2&lt;/sup&gt; 4d&lt;sup&gt;10&lt;/sup&gt; 5p&lt;sup&gt;4&lt;/sup&gt;</t>
  </si>
  <si>
    <t>[Kr] 5s&lt;sup&gt;2&lt;/sup&gt; 4d&lt;sup&gt;10&lt;/sup&gt; 5p&lt;sup&gt;5&lt;/sup&gt;</t>
  </si>
  <si>
    <t>[Kr] 5s&lt;sup&gt;2&lt;/sup&gt; 4d&lt;sup&gt;10&lt;/sup&gt; 5p&lt;sup&gt;6&lt;/sup&gt;</t>
  </si>
  <si>
    <t>[Xe] 6s&lt;sup&gt;2&lt;/sup&gt; 4f&lt;sup&gt;10&lt;/sup&gt;</t>
  </si>
  <si>
    <t>[Rn] 7s&lt;sup&gt;2&lt;/sup&gt; 5f&lt;sup&gt;10&lt;/sup&gt;</t>
  </si>
  <si>
    <t>[Xe] 6s&lt;sup&gt;2&lt;/sup&gt; 4f&lt;sup&gt;1&lt;/sup&gt;1</t>
  </si>
  <si>
    <t>[Xe] 6s&lt;sup&gt;2&lt;/sup&gt; 4f&lt;sup&gt;1&lt;/sup&gt;2</t>
  </si>
  <si>
    <t>[Xe] 6s&lt;sup&gt;2&lt;/sup&gt; 4f&lt;sup&gt;1&lt;/sup&gt;3</t>
  </si>
  <si>
    <t>[Xe] 6s&lt;sup&gt;2&lt;/sup&gt; 4f&lt;sup&gt;1&lt;/sup&gt;4</t>
  </si>
  <si>
    <t>[Xe] 6s&lt;sup&gt;2&lt;/sup&gt; 4f&lt;sup&gt;1&lt;/sup&gt;4 5d&lt;sup&gt;1&lt;/sup&gt;</t>
  </si>
  <si>
    <t>[Xe] 6s&lt;sup&gt;2&lt;/sup&gt; 4f&lt;sup&gt;1&lt;/sup&gt;4 5d&lt;sup&gt;2&lt;/sup&gt;</t>
  </si>
  <si>
    <t>[Xe] 6s&lt;sup&gt;2&lt;/sup&gt; 4f&lt;sup&gt;1&lt;/sup&gt;4 5d&lt;sup&gt;3&lt;/sup&gt;</t>
  </si>
  <si>
    <t>[Xe] 6s&lt;sup&gt;2&lt;/sup&gt; 4f&lt;sup&gt;1&lt;/sup&gt;4 5d&lt;sup&gt;4&lt;/sup&gt;</t>
  </si>
  <si>
    <t>[Xe] 6s&lt;sup&gt;2&lt;/sup&gt; 4f&lt;sup&gt;1&lt;/sup&gt;4 5d&lt;sup&gt;5&lt;/sup&gt;</t>
  </si>
  <si>
    <t>[Xe] 6s&lt;sup&gt;2&lt;/sup&gt; 4f&lt;sup&gt;1&lt;/sup&gt;4 5d&lt;sup&gt;6&lt;/sup&gt;</t>
  </si>
  <si>
    <t>[Xe] 6s&lt;sup&gt;2&lt;/sup&gt; 4f&lt;sup&gt;1&lt;/sup&gt;4 5d&lt;sup&gt;7&lt;/sup&gt;</t>
  </si>
  <si>
    <t>[Xe] 6s&lt;sup&gt;1&lt;/sup&gt; 4f&lt;sup&gt;1&lt;/sup&gt;4 5d&lt;sup&gt;9&lt;/sup&gt;</t>
  </si>
  <si>
    <t>[Xe] 6s&lt;sup&gt;1&lt;/sup&gt; 4f&lt;sup&gt;1&lt;/sup&gt;4 5d&lt;sup&gt;10&lt;/sup&gt;</t>
  </si>
  <si>
    <t>[Xe] 6s&lt;sup&gt;2&lt;/sup&gt; 4f&lt;sup&gt;1&lt;/sup&gt;4 5d&lt;sup&gt;10&lt;/sup&gt;</t>
  </si>
  <si>
    <t>[Xe] 6s&lt;sup&gt;2&lt;/sup&gt; 4f&lt;sup&gt;1&lt;/sup&gt;4 5d&lt;sup&gt;10&lt;/sup&gt; 6p&lt;sup&gt;1&lt;/sup&gt;</t>
  </si>
  <si>
    <t>[Xe] 6s&lt;sup&gt;2&lt;/sup&gt; 4f&lt;sup&gt;1&lt;/sup&gt;4 5d&lt;sup&gt;10&lt;/sup&gt; 6p&lt;sup&gt;2&lt;/sup&gt;</t>
  </si>
  <si>
    <t>[Xe] 6s&lt;sup&gt;2&lt;/sup&gt; 4f&lt;sup&gt;1&lt;/sup&gt;4 5d&lt;sup&gt;10&lt;/sup&gt; 6p&lt;sup&gt;3&lt;/sup&gt;</t>
  </si>
  <si>
    <t>[Xe] 6s&lt;sup&gt;2&lt;/sup&gt; 4f&lt;sup&gt;1&lt;/sup&gt;4 5d&lt;sup&gt;10&lt;/sup&gt; 6p&lt;sup&gt;4&lt;/sup&gt;</t>
  </si>
  <si>
    <t>[Xe] 6s&lt;sup&gt;2&lt;/sup&gt; 4f&lt;sup&gt;1&lt;/sup&gt;4 5d&lt;sup&gt;10&lt;/sup&gt; 6p&lt;sup&gt;5&lt;/sup&gt;</t>
  </si>
  <si>
    <t>[Xe] 6s&lt;sup&gt;2&lt;/sup&gt; 4f&lt;sup&gt;1&lt;/sup&gt;4 5d&lt;sup&gt;10&lt;/sup&gt; 6p&lt;sup&gt;6&lt;/sup&gt;</t>
  </si>
  <si>
    <t>[Xe] 6s&lt;sup&gt;2&lt;/sup&gt; 4f&lt;sup&gt;2&lt;/sup&gt;</t>
  </si>
  <si>
    <t>[Rn] 7s&lt;sup&gt;2&lt;/sup&gt; 6d&lt;sup&gt;1&lt;/sup&gt; 5f&lt;sup&gt;2&lt;/sup&gt;</t>
  </si>
  <si>
    <t>[Xe] 6s&lt;sup&gt;2&lt;/sup&gt; 4f&lt;sup&gt;4&lt;/sup&gt; </t>
  </si>
  <si>
    <t>[Rn] 7s&lt;sup&gt;2&lt;/sup&gt; 6d&lt;sup&gt;1&lt;/sup&gt; 5f&lt;sup&gt;4&lt;/sup&gt;</t>
  </si>
  <si>
    <t>[Xe] 6s&lt;sup&gt;2&lt;/sup&gt; 4f&lt;sup&gt;5&lt;/sup&gt;</t>
  </si>
  <si>
    <t>[Xe] 6s&lt;sup&gt;2&lt;/sup&gt; 4f&lt;sup&gt;6&lt;/sup&gt;</t>
  </si>
  <si>
    <t>[Rn] 7s&lt;sup&gt;2&lt;/sup&gt; 5f&lt;sup&gt;6&lt;/sup&gt;</t>
  </si>
  <si>
    <t>[Xe] 6s&lt;sup&gt;2&lt;/sup&gt; 4f&lt;sup&gt;7&lt;/sup&gt;</t>
  </si>
  <si>
    <t>[Xe] 6s&lt;sup&gt;2&lt;/sup&gt; 4f&lt;sup&gt;7&lt;/sup&gt; 5d&lt;sup&gt;1&lt;/sup&gt;</t>
  </si>
  <si>
    <t>[Rn] 7s&lt;sup&gt;2&lt;/sup&gt; 5f&lt;sup&gt;7&lt;/sup&gt;</t>
  </si>
  <si>
    <t>[Rn] 7s&lt;sup&gt;2&lt;/sup&gt; 6d&lt;sup&gt;1&lt;/sup&gt; 5f&lt;sup&gt;7&lt;/sup&gt;</t>
  </si>
  <si>
    <t>[Xe] 6s&lt;sup&gt;2&lt;/sup&gt; 4f&lt;sup&gt;9&lt;/sup&gt;</t>
  </si>
  <si>
    <t>[Rn] 7s&lt;sup&gt;2&lt;/sup&gt; 5f&lt;sup&gt;9&lt;/sup&gt;</t>
  </si>
  <si>
    <t>[Rn] 7s&lt;sup&gt;2&lt;/sup&gt; 5f&lt;sup&gt;11&lt;/sup&gt;</t>
  </si>
  <si>
    <t>[Rn] 7s&lt;sup&gt;2&lt;/sup&gt; 5f&lt;sup&gt;12&lt;/sup&gt;</t>
  </si>
  <si>
    <t>[Rn] 7s&lt;sup&gt;2&lt;/sup&gt; 5f&lt;sup&gt;13&lt;/sup&gt;</t>
  </si>
  <si>
    <t>[Rn] 7s&lt;sup&gt;2&lt;/sup&gt; 5f&lt;sup&gt;14&lt;/sup&gt;</t>
  </si>
  <si>
    <t>[Rn] 7s&lt;sup&gt;2&lt;/sup&gt; 6d&lt;sup&gt;1&lt;/sup&gt; 5f&lt;sup&gt;14&lt;/sup&gt;</t>
  </si>
  <si>
    <t>pre</t>
  </si>
  <si>
    <t>next</t>
  </si>
  <si>
    <t>0,09 g/L</t>
  </si>
  <si>
    <t>0,179 g/L</t>
  </si>
  <si>
    <t>1,25 g/L</t>
  </si>
  <si>
    <t>1,429 g/L</t>
  </si>
  <si>
    <t>1,696 g/L</t>
  </si>
  <si>
    <t>0,9 g/L</t>
  </si>
  <si>
    <t>3,214 g/L</t>
  </si>
  <si>
    <t>1,784 g/L</t>
  </si>
  <si>
    <t>3,74 g/L</t>
  </si>
  <si>
    <t>5,89 g/L</t>
  </si>
  <si>
    <t>9,96 g/L</t>
  </si>
  <si>
    <t>Metall</t>
  </si>
  <si>
    <t>Nichtmetall</t>
  </si>
  <si>
    <t>Halbmetall</t>
  </si>
  <si>
    <t>Altertum</t>
  </si>
  <si>
    <t>radioaktiv</t>
  </si>
  <si>
    <t>I</t>
  </si>
  <si>
    <t>Periodensystem der Elemente (PSE)</t>
  </si>
  <si>
    <t>hoch</t>
  </si>
  <si>
    <t>runter</t>
  </si>
  <si>
    <t>Periode = Schale</t>
  </si>
  <si>
    <t>57-70</t>
  </si>
  <si>
    <t>89-102</t>
  </si>
  <si>
    <r>
      <t>Legende:</t>
    </r>
    <r>
      <rPr>
        <sz val="14"/>
        <rFont val="Arial"/>
        <family val="2"/>
      </rPr>
      <t xml:space="preserve"> Wo stehen welche Informationen?</t>
    </r>
  </si>
  <si>
    <t>Nicht-metalle</t>
  </si>
  <si>
    <t>Halb-metalle</t>
  </si>
  <si>
    <r>
      <t xml:space="preserve">    Gruppe: </t>
    </r>
    <r>
      <rPr>
        <sz val="11"/>
        <color indexed="48"/>
        <rFont val="Arial"/>
        <family val="2"/>
      </rPr>
      <t>A = Hauptgruppe</t>
    </r>
    <r>
      <rPr>
        <sz val="11"/>
        <rFont val="Arial"/>
        <family val="2"/>
      </rPr>
      <t xml:space="preserve">,  </t>
    </r>
    <r>
      <rPr>
        <sz val="11"/>
        <color indexed="61"/>
        <rFont val="Arial"/>
        <family val="2"/>
      </rPr>
      <t>B = Nebengruppe</t>
    </r>
  </si>
  <si>
    <r>
      <t>I A (</t>
    </r>
    <r>
      <rPr>
        <b/>
        <sz val="12.5"/>
        <color indexed="48"/>
        <rFont val="Arial"/>
        <family val="2"/>
      </rPr>
      <t>1</t>
    </r>
    <r>
      <rPr>
        <sz val="12.5"/>
        <color indexed="48"/>
        <rFont val="Arial"/>
        <family val="2"/>
      </rPr>
      <t>)</t>
    </r>
  </si>
  <si>
    <r>
      <t>II A (</t>
    </r>
    <r>
      <rPr>
        <b/>
        <sz val="12.5"/>
        <color indexed="48"/>
        <rFont val="Arial"/>
        <family val="2"/>
      </rPr>
      <t>2</t>
    </r>
    <r>
      <rPr>
        <sz val="12.5"/>
        <color indexed="48"/>
        <rFont val="Arial"/>
        <family val="2"/>
      </rPr>
      <t>)</t>
    </r>
  </si>
  <si>
    <r>
      <t>III A (</t>
    </r>
    <r>
      <rPr>
        <b/>
        <sz val="12.5"/>
        <color indexed="48"/>
        <rFont val="Arial"/>
        <family val="2"/>
      </rPr>
      <t>3</t>
    </r>
    <r>
      <rPr>
        <sz val="12.5"/>
        <color indexed="48"/>
        <rFont val="Arial"/>
        <family val="2"/>
      </rPr>
      <t>)</t>
    </r>
  </si>
  <si>
    <r>
      <t>IV A (</t>
    </r>
    <r>
      <rPr>
        <b/>
        <sz val="12.5"/>
        <color indexed="48"/>
        <rFont val="Arial"/>
        <family val="2"/>
      </rPr>
      <t>4</t>
    </r>
    <r>
      <rPr>
        <sz val="12.5"/>
        <color indexed="48"/>
        <rFont val="Arial"/>
        <family val="2"/>
      </rPr>
      <t>)</t>
    </r>
  </si>
  <si>
    <r>
      <t>V A (</t>
    </r>
    <r>
      <rPr>
        <b/>
        <sz val="12.5"/>
        <color indexed="48"/>
        <rFont val="Arial"/>
        <family val="2"/>
      </rPr>
      <t>5</t>
    </r>
    <r>
      <rPr>
        <sz val="12.5"/>
        <color indexed="48"/>
        <rFont val="Arial"/>
        <family val="2"/>
      </rPr>
      <t>)</t>
    </r>
  </si>
  <si>
    <r>
      <t>VI A (</t>
    </r>
    <r>
      <rPr>
        <b/>
        <sz val="12.5"/>
        <color indexed="48"/>
        <rFont val="Arial"/>
        <family val="2"/>
      </rPr>
      <t>6</t>
    </r>
    <r>
      <rPr>
        <sz val="12.5"/>
        <color indexed="48"/>
        <rFont val="Arial"/>
        <family val="2"/>
      </rPr>
      <t>)</t>
    </r>
  </si>
  <si>
    <r>
      <t>VII A (</t>
    </r>
    <r>
      <rPr>
        <b/>
        <sz val="12.5"/>
        <color indexed="48"/>
        <rFont val="Arial"/>
        <family val="2"/>
      </rPr>
      <t>7</t>
    </r>
    <r>
      <rPr>
        <sz val="12.5"/>
        <color indexed="48"/>
        <rFont val="Arial"/>
        <family val="2"/>
      </rPr>
      <t>)</t>
    </r>
  </si>
  <si>
    <r>
      <t>VIII A (</t>
    </r>
    <r>
      <rPr>
        <b/>
        <sz val="12.5"/>
        <color indexed="48"/>
        <rFont val="Arial"/>
        <family val="2"/>
      </rPr>
      <t>8</t>
    </r>
    <r>
      <rPr>
        <sz val="12.5"/>
        <color indexed="48"/>
        <rFont val="Arial"/>
        <family val="2"/>
      </rPr>
      <t>)</t>
    </r>
  </si>
  <si>
    <r>
      <t>Hauptgruppen:</t>
    </r>
    <r>
      <rPr>
        <sz val="12.5"/>
        <color indexed="48"/>
        <rFont val="Arial"/>
        <family val="2"/>
      </rPr>
      <t xml:space="preserve"> I ...VIII A (</t>
    </r>
    <r>
      <rPr>
        <b/>
        <sz val="12.5"/>
        <color indexed="48"/>
        <rFont val="Arial"/>
        <family val="2"/>
      </rPr>
      <t>1 - 8</t>
    </r>
    <r>
      <rPr>
        <sz val="12.5"/>
        <color indexed="48"/>
        <rFont val="Arial"/>
        <family val="2"/>
      </rPr>
      <t>)</t>
    </r>
  </si>
  <si>
    <t>1,87 g/cm³</t>
  </si>
  <si>
    <t>1627 °C</t>
  </si>
  <si>
    <t xml:space="preserve"> </t>
  </si>
  <si>
    <t>(6.) Lanthanoide</t>
  </si>
  <si>
    <t>(7.) Actinoide</t>
  </si>
  <si>
    <t>radio-aktiv *</t>
  </si>
  <si>
    <t>Praseodymium</t>
  </si>
  <si>
    <t>Hydrogen</t>
  </si>
  <si>
    <t>Platinum</t>
  </si>
  <si>
    <t>Arsenic</t>
  </si>
  <si>
    <t>Astatine</t>
  </si>
  <si>
    <t>Boron</t>
  </si>
  <si>
    <t>Iodine</t>
  </si>
  <si>
    <t>Bismuth</t>
  </si>
  <si>
    <t>Sulfur</t>
  </si>
  <si>
    <t>Lanthanum</t>
  </si>
  <si>
    <t>Bromine</t>
  </si>
  <si>
    <t>Carbon</t>
  </si>
  <si>
    <t>Selenium</t>
  </si>
  <si>
    <t>Silicon</t>
  </si>
  <si>
    <t>Cerium</t>
  </si>
  <si>
    <t>Manganese</t>
  </si>
  <si>
    <t>Chlorine</t>
  </si>
  <si>
    <t>Molybdenum</t>
  </si>
  <si>
    <t>Tantalum</t>
  </si>
  <si>
    <t>Nitrogen</t>
  </si>
  <si>
    <t>Chromium</t>
  </si>
  <si>
    <t>Niobium</t>
  </si>
  <si>
    <t>Tellurium</t>
  </si>
  <si>
    <t>Neodymium</t>
  </si>
  <si>
    <t>Titanium</t>
  </si>
  <si>
    <t>Uranium</t>
  </si>
  <si>
    <t>Oxygen</t>
  </si>
  <si>
    <t>Fluorine</t>
  </si>
  <si>
    <t>Phosphorus</t>
  </si>
  <si>
    <t>Zinc</t>
  </si>
  <si>
    <t>Tungsten</t>
  </si>
  <si>
    <t>Potassium</t>
  </si>
  <si>
    <t>Sodium</t>
  </si>
  <si>
    <t>natürlich</t>
  </si>
  <si>
    <t>OZ</t>
  </si>
  <si>
    <t>MZ</t>
  </si>
  <si>
    <t>Ordnungszahl</t>
  </si>
  <si>
    <t>Symbol</t>
  </si>
  <si>
    <t>Name</t>
  </si>
  <si>
    <t>Atommasse</t>
  </si>
  <si>
    <t>EN</t>
  </si>
  <si>
    <t>BP</t>
  </si>
  <si>
    <t>MP</t>
  </si>
  <si>
    <t>Dichte</t>
  </si>
  <si>
    <t>Ionenradius</t>
  </si>
  <si>
    <t>H</t>
  </si>
  <si>
    <t>Wasserstoff</t>
  </si>
  <si>
    <t>England</t>
  </si>
  <si>
    <t>-</t>
  </si>
  <si>
    <t>farblos</t>
  </si>
  <si>
    <t>rot</t>
  </si>
  <si>
    <t>He</t>
  </si>
  <si>
    <t>Helium</t>
  </si>
  <si>
    <t>Schottland</t>
  </si>
  <si>
    <t>Li</t>
  </si>
  <si>
    <t>Lithium</t>
  </si>
  <si>
    <t>Schweden</t>
  </si>
  <si>
    <t>159.4</t>
  </si>
  <si>
    <t>Be</t>
  </si>
  <si>
    <t>Beryllium</t>
  </si>
  <si>
    <t>Frankreich</t>
  </si>
  <si>
    <t>324.3</t>
  </si>
  <si>
    <t>grau-weiß</t>
  </si>
  <si>
    <t>B</t>
  </si>
  <si>
    <t>Bor</t>
  </si>
  <si>
    <t>562.7</t>
  </si>
  <si>
    <t>gelb-braun</t>
  </si>
  <si>
    <t>C</t>
  </si>
  <si>
    <t>Kohlenstoff</t>
  </si>
  <si>
    <t>716.7</t>
  </si>
  <si>
    <t>schwarz</t>
  </si>
  <si>
    <t>N</t>
  </si>
  <si>
    <t>Stickstoff</t>
  </si>
  <si>
    <t>472.7</t>
  </si>
  <si>
    <t>O</t>
  </si>
  <si>
    <t>Sauerstoff</t>
  </si>
  <si>
    <t>249.2</t>
  </si>
  <si>
    <t>F</t>
  </si>
  <si>
    <t>Fluor</t>
  </si>
  <si>
    <t>grün-gelb</t>
  </si>
  <si>
    <t>Ne</t>
  </si>
  <si>
    <t>Neon</t>
  </si>
  <si>
    <t>Na</t>
  </si>
  <si>
    <t>Natrium</t>
  </si>
  <si>
    <t>107.3</t>
  </si>
  <si>
    <t>gelb</t>
  </si>
  <si>
    <t>Mg</t>
  </si>
  <si>
    <t>Magnesium</t>
  </si>
  <si>
    <t>147.7</t>
  </si>
  <si>
    <t>weiß</t>
  </si>
  <si>
    <t>Al</t>
  </si>
  <si>
    <t>Aluminium</t>
  </si>
  <si>
    <t>Dänemark</t>
  </si>
  <si>
    <t>326.4</t>
  </si>
  <si>
    <t>Si</t>
  </si>
  <si>
    <t>Silicium</t>
  </si>
  <si>
    <t>455.6</t>
  </si>
  <si>
    <t>dunkelgrau</t>
  </si>
  <si>
    <t>P</t>
  </si>
  <si>
    <t>Phosphor</t>
  </si>
  <si>
    <t>Deutschland</t>
  </si>
  <si>
    <t>314.6</t>
  </si>
  <si>
    <t>weiß/rot</t>
  </si>
  <si>
    <t>S</t>
  </si>
  <si>
    <t>Schwefel</t>
  </si>
  <si>
    <t>278.8</t>
  </si>
  <si>
    <t>Cl</t>
  </si>
  <si>
    <t>Chlor</t>
  </si>
  <si>
    <t>121.7</t>
  </si>
  <si>
    <t>12,3 Jahre</t>
  </si>
  <si>
    <t>53 Tage</t>
  </si>
  <si>
    <t>5730 Jahre</t>
  </si>
  <si>
    <t>2,6 Jahre</t>
  </si>
  <si>
    <t>1,27 Milliarden Jahre</t>
  </si>
  <si>
    <t>22,3 Jahre</t>
  </si>
  <si>
    <t>10,6 Stunden</t>
  </si>
  <si>
    <t>26,8 Minuten</t>
  </si>
  <si>
    <t>19,8 Minuten</t>
  </si>
  <si>
    <t>55 Sek</t>
  </si>
  <si>
    <t>3,82 Tage</t>
  </si>
  <si>
    <t>1600 Jahre</t>
  </si>
  <si>
    <t>14 Milliarden Jahre</t>
  </si>
  <si>
    <t>0,7 Milliarden Jahre</t>
  </si>
  <si>
    <t>4,5 Milliarden Jahre</t>
  </si>
  <si>
    <t>5,3 Jahre</t>
  </si>
  <si>
    <t>6,0 Stunden</t>
  </si>
  <si>
    <t>28,5 Jahre</t>
  </si>
  <si>
    <t>&lt;b&gt;&lt;i&gt;H&lt;/b&gt;ydrogenium&lt;/i&gt;</t>
  </si>
  <si>
    <t>&lt;b&gt;&lt;i&gt;C&lt;/b&gt;arbonium&lt;/i&gt;</t>
  </si>
  <si>
    <t>&lt;b&gt;&lt;i&gt;N&lt;/b&gt;itrogenium&lt;/i&gt;</t>
  </si>
  <si>
    <t>&lt;b&gt;&lt;i&gt;O&lt;/b&gt;xygenium&lt;/i&gt;</t>
  </si>
  <si>
    <t>&lt;/b&gt;'Fe&lt;/b&gt;rrum&lt;/i&gt;</t>
  </si>
  <si>
    <t>&lt;b&gt;&lt;i&gt;Cu&lt;/b&gt;prum&lt;/i&gt;</t>
  </si>
  <si>
    <t>&lt;b&gt;&lt;i&gt;A&lt;/b&gt;r&lt;/b&gt;g&lt;/b&gt;entum&lt;/i&gt;</t>
  </si>
  <si>
    <t>&lt;b&gt;&lt;i&gt;S&lt;/b&gt;ta&lt;/b&gt;n&lt;/b&gt;num&lt;/i&gt;</t>
  </si>
  <si>
    <t>&lt;b&gt;&lt;i&gt;S&lt;/b&gt;ti&lt;/b&gt;b&lt;/b&gt;ium&lt;/i&gt;</t>
  </si>
  <si>
    <t>&lt;b&gt;&lt;i&gt;Au&lt;/b&gt;rum&lt;/i&gt;</t>
  </si>
  <si>
    <t>&lt;b&gt;&lt;i&gt;H&lt;/b&gt;ydrar&lt;/b&gt;g&lt;/b&gt;yrum&lt;/i&gt;</t>
  </si>
  <si>
    <t>&lt;b&gt;&lt;i&gt;P&lt;/b&gt;lum&lt;/b&gt;b&lt;/b&gt;um&lt;/i&gt;</t>
  </si>
  <si>
    <t xml:space="preserve"> ist seit dem Altertum bekannt.</t>
  </si>
  <si>
    <t>www</t>
  </si>
  <si>
    <t>Die lat./griech. Elementbezeichnung Hydrogenium bedeutet "[[Wasser]]-Bildner", siehe [[Knallgasreaktion]].</t>
  </si>
  <si>
    <t>Der Name Helium leitet sich von griech. ''Helios'' = Sonne ab, denn es wurde erstmals aufgrund seiner Spektrallinien im Licht der Sonne nachgewiesen.</t>
  </si>
  <si>
    <t>Die Bezeichnung Beryllium leitet sich von Beryll ab, einem Edelstein, der Beryllium enthält.</t>
  </si>
  <si>
    <t>Borverbindungen (arabisch ''Buraq'' und lat. ''borax'' = borsaures Natron, Borax) sind seit Jahrtausenden bekannt. Im alten Ägypten nutzte man zur Mumifikation das Mineral Natron, das neben anderen Verbindungen auch Borate enthält.</t>
  </si>
  <si>
    <t>Wortherkunft von lat. ''carbo'' = Holzkohle.</t>
  </si>
  <si>
    <t>60 Tage</t>
  </si>
  <si>
    <t>Copernicium wurde erstmals 1996 bei der GSI in Darmstadt erzeugt.</t>
  </si>
  <si>
    <t>8 Tage</t>
  </si>
  <si>
    <t>2 Jahre</t>
  </si>
  <si>
    <t>30 Jahre</t>
  </si>
  <si>
    <t>74 Tage</t>
  </si>
  <si>
    <t>87,7 Jahre</t>
  </si>
  <si>
    <t>24110 Jahre</t>
  </si>
  <si>
    <t>433 Jahre</t>
  </si>
  <si>
    <t>stabil</t>
  </si>
  <si>
    <t>Herkunft, techn. Bedeutung</t>
  </si>
  <si>
    <t>[[radioaktiv]]</t>
  </si>
  <si>
    <t>[[radioaktiv]], Erdkruste, Kernenergie, Atomwaffen</t>
  </si>
  <si>
    <t>[[radioaktiv]], Erdkruste</t>
  </si>
  <si>
    <t>ca. 100</t>
  </si>
  <si>
    <t>6,6 Millionen Jahre</t>
  </si>
  <si>
    <t>[[radioaktiv]], Nuklearmedizin</t>
  </si>
  <si>
    <t>99m</t>
  </si>
  <si>
    <t>[[radioaktiv]], Kernwaffenfallout, Kerntechnik, Medizin</t>
  </si>
  <si>
    <t>[[radioaktiv]], Uran-Reihe, Erdboden, Luft</t>
  </si>
  <si>
    <t>[[radioaktiv]], Thorium-Reihe, Erdboden, Luft</t>
  </si>
  <si>
    <t>[[radioaktiv]], Uran-Reihe, Erdboden</t>
  </si>
  <si>
    <t>99z</t>
  </si>
  <si>
    <t>Halbwertszeit</t>
  </si>
  <si>
    <t>natürliche Häufigkeit</t>
  </si>
  <si>
    <t>[[radioaktiv]], Kerntechnik, Isotopenbatterien</t>
  </si>
  <si>
    <t>[[radioaktiv]], Kerntechnik, Kernwaffentechnik</t>
  </si>
  <si>
    <t>[[radioaktiv]], Kerntechnik, Brandmelder, Prüftechnik</t>
  </si>
  <si>
    <t>[[radioaktiv]], Prüftechnik, Medizin</t>
  </si>
  <si>
    <t>[[radioaktiv]], Leuchtfarben</t>
  </si>
  <si>
    <t>[[radioaktiv]], Kernwaffenfallout, Tschernobyl, Kerntechnik, Medizin</t>
  </si>
  <si>
    <t>[[radioaktiv]], Medizin, Kerntechnik</t>
  </si>
  <si>
    <t>[[radioaktiv]], Kerntechnik, Tschernobyl</t>
  </si>
  <si>
    <t>[[radioaktiv]], Medizin</t>
  </si>
  <si>
    <t>[[radioaktiv]], kosmogen</t>
  </si>
  <si>
    <t>[[radioaktiv]], kosmogen, Kernwaffenfallout, Leuchtfarben, Kerntechnik</t>
  </si>
  <si>
    <t>[[radioaktiv]], kosmogen, Kerntechnik, Medizin, [[Radiocarbonmethode]]</t>
  </si>
  <si>
    <t>Spalte N n. Word exportieren, &lt;br&gt; in Word d. Absatz ersetzen u. als" .txt mit Absatz" speichern, dann in Wiki-Tabelle einfügen</t>
  </si>
  <si>
    <t>Das Elementsymbol Ag leitet sich von dem lateinischen Wort '''A'''r'''g'''entum = Silber ab. Es ist neben Kupfer eines von nur zwei Elementen , welche Namensgeber für ein Land sind (Silber für Argentinien und Kupfer für Zypern), während der umgekehrte Fall häufiger vorkommt. Der deutsche Name Silber stammt vom althochdeutschen Wort Silabar, das möglicherweise auf Homers Sagenland ''Salybe'' zurückgeht.</t>
  </si>
  <si>
    <t>Astat (altgriechisch αστατεω = unbeständig, wegen des radioaktiven Zerfalls von Astat) wurde zuerst 1940 von Dale Corson, Kenneth MacKenzie und Emilio Segrè in der University of California künstlich hergestellt, und zwar durch Beschuss von Bismut mit Alphateilchen.</t>
  </si>
  <si>
    <t>Gold (von indogermanisch ''ghel'': glänzend, (gelb) ) ist ein chemisches Element und ein so genanntes Edelmetall, das chemische Kürzel Au für Gold ist auf die lateinische Bezeichnung ''Aurum'' zurückzuführen.</t>
  </si>
  <si>
    <t>Das Element Bismut kennt man wahrscheinlich schon seit der Antike. Der Name ''Wismut'' ist seit 1472 bekannt und geht vermutlich auf den ersten Ort der Gewinnung "in den Wiesen" am Schneeberg im Erzgebirge zurück. Es gibt jedoch auch andere Etymologien, beispielsweise von "weiß". Georgius Agricola benutzte die latinisierte Bezeichnung ''bismutum'', worauf der heutige Name zurückgeht.</t>
  </si>
  <si>
    <t>Chrom (von griech. chroma = Farbe (Die Salze von Chrom haben viele verschiedene Farben und werden oft als Pigmente in Farben und Lacke verwendet). 1761 entdeckte Johann Gottlob Lehmann ein orange-rotes Bleichromat-Mineral (PbCrO&lt;sub&gt;4&lt;/sub&gt;) im Ural_(Gebirge)|Ural, das er Rotbleierz nannte. Weil er es als eine Blei-Eisen-Selen-Verbindung identifizierte, blieb Chrom noch unentdeckt. 1770 fand Peter Simon Pallas an gleicher Stelle ein rotes Bleimineral, das wegen seiner Rotfärbung Krokoit (von griech. ''krokos'', safranfarben) genannt wurde. Die Verwendung von Rotbleierz als Farbpigment nahm schnell zu. Ein aus Krokoit gewonnenes strahlendes Gelb, das Chromgelb, wurde zur Modefarbe, vielen sicher noch als "Postgelb" in Erinnerung.</t>
  </si>
  <si>
    <t>Dysprosium (von griech. dysprósitos = unzugänglich)</t>
  </si>
  <si>
    <t>Der Name leitet sich von der Grube Ytterby bei Stockholm ab, wie auch der von Ytterbium, Terbium und Yttrium. Erbium (für Ytterby, einer schwedischen Stadt) wurde 1843 von Carl Gustav Mosander entdeckt.</t>
  </si>
  <si>
    <t>Der Name Fluor leitet sich über lateinisch fluor (= das Fließen) von Flussspat ab, dem wichtigsten Mineral, das Fluor enthält.</t>
  </si>
  <si>
    <t>Der Name stammt vom altgriechischen Wort ''lithos'' = Stein, da Lithium zuerst im Gestein nachgewiesen wurde).</t>
  </si>
  <si>
    <t xml:space="preserve">Neon (von altgriech. νέος = neu). Neon (griechisch ''neos'' für neu) </t>
  </si>
  <si>
    <t>Natrium (von Ägyptische Sprache|ägypt. ''netjer'' = Natron aus Arabische Sprache|arab. ''natrun'' = Natron, da Natrium den Hauptbestandteil von Natron bildet, veraltete und englisch-französische Bezeichnung ''Sodium'')</t>
  </si>
  <si>
    <t>Aluminium hat seinen Namen vom lateinischen Wort alumen (= Alaun).</t>
  </si>
  <si>
    <t>Phosphor''' (von griechische Sprache|griechisch φως-φορος = lichttragend, vom Leuchten des weißen Phosphors). Phosphor wurde 1669 von Hennig Brand, einem deutschen Apotheker und Alchemisten, entdeckt, als dieser - auf der Suche nach dem "Stein der Weisen" - Urin destillierte und der Rückstand glühte.</t>
  </si>
  <si>
    <t>Chlor (von griechisch chlorós = gelblich grün, wegen der gelbgrünen Farbe von Chlorgas)</t>
  </si>
  <si>
    <t>L-Abk. bzw. redirect</t>
  </si>
  <si>
    <t xml:space="preserve"> 1. von griech. Magnetstein, 2. von Magnesia (Griechenland), einem Gebiet im östlichen Griechenland und 3.  von Magnesia, einer Stadt in Kleinasien, auf dem Gebiet der heutigen Türkei.</t>
  </si>
  <si>
    <t>Argon hat seine Bezeichnung vom griechischen Wort argon - das träge Element - wegen seiner chemischen Reaktionsträgheit</t>
  </si>
  <si>
    <t>'Kalium''', (von Kali aus Arabische Sprache|arab. ''al qalja'' = Pflanzenasche).  Kalium (von arab.: al-qali = Asche, aus Pflanzenasche gewinnbar)</t>
  </si>
  <si>
    <t>er Begriff Silizium leitet sich vom lateinischen Wort ''silex'' (Kieselstein, Feuerstein) ab. Er bringt zum Ausdruck, dass Silizium häufiger Bestandteil vieler Minerale ist.</t>
  </si>
  <si>
    <t>silbrig-grau</t>
  </si>
  <si>
    <t>silbrig weiß</t>
  </si>
  <si>
    <t>metallisch glänzend</t>
  </si>
  <si>
    <t>in seiner Farbe unbekannt</t>
  </si>
  <si>
    <t>silbrig</t>
  </si>
  <si>
    <t>silbrig glänzend</t>
  </si>
  <si>
    <t>silbrig-weiß</t>
  </si>
  <si>
    <t>silbrig-gelb</t>
  </si>
  <si>
    <t>silbrigweiß</t>
  </si>
  <si>
    <t>silbriggrau</t>
  </si>
  <si>
    <t>silbrigweiß glänzend</t>
  </si>
  <si>
    <t>WL</t>
  </si>
  <si>
    <t>Sammlung</t>
  </si>
  <si>
    <t>nichda</t>
  </si>
  <si>
    <t>Sauerstoff''' (auch ''Oxygenium;'' von griech. ''oxýs'' „scharf, spitz, sauer“ und ''genese'' „erzeugen“).Früher machte man den Sauerstoff für die Bildung von Säuren verantwortlich.</t>
  </si>
  <si>
    <t>Copernicium</t>
  </si>
  <si>
    <t>Quecksilber bedeutet ursprünglich "lebendiges Silber" (althochdeutsch ''quecsilbar'' zu Germanische Sprachen|germanisch ''kwikw'' = ''lebendig''). Aufgrund seiner hohen Oberflächenspannung benetzt Quecksilber seine Unterlage nicht, sondern bildet abgeplattete einzelne Tröpfchen (Kohäsion). Das chemische Symbol des Quecksilbers ist '''Hg'''. Das ist die Abkürzung für ''hydrargyrum'', zusammengesetzt aus der Vorsilbe ''hydr-'' und ''argyron = Silber'', was aus dem Griechischen mit "flüssiges Silber" übersetzt werden kann.</t>
  </si>
  <si>
    <t>Erst 1911 gelang dem schwedischen Chemiker Holmberg die Gewinnung von reinem Holmiumoxid. Ob er die Bezeichnung Holmium, vorgeschlagen von Cleve für die schwedische Landeshauptstadt Stockholm, übernahm oder als Ableitung seines eigenen Namens betrachtete, ist nicht bekannt.</t>
  </si>
  <si>
    <t>Dieses Element wurde nach Ernest Lawrence benannt. Er ist der Erfinder des Zyklotrons, einem Teilchenbeschleuniger, der eine wichtige Voraussetzung zur Entdeckung vieler Transuranium-Elemente war.</t>
  </si>
  <si>
    <t>Mangan kommt vom von französischen Wort manganèse (= schwarze Magnesia).</t>
  </si>
  <si>
    <t>Das Elementsymbol N leitet sich von der lateinischen Bezeichnung nitrogenium (von altgriech. νιτρον „Laugensalz“ und altgriech. γενος „Herkunft“) ab. Die deutsche Bezeichnung Stickstoff erinnert daran, dass molekularer Stickstoff Flammen löscht („erstickt“).</t>
  </si>
  <si>
    <t>''Niob''' (nach Niobe - der Tochter des Tantalus -, Hatchett fand Niob in Columbiterz, Tocvhter des Tantalos, wg. Vergesellschaftung mit Tantal</t>
  </si>
  <si>
    <t xml:space="preserve">Blei (lat. plumbum, von plumbeus: bleiern, stumpf, bleischwer) ist ein chemisches Element. Chemisches Symbol: Pb. Der Name Blei ist indogermanischen Ursprungs und bedeutet soviel wie schimmernd, leuchtend oder glänzend. </t>
  </si>
  <si>
    <t>Polonium wurde 1898 von Marie und Pierre Curie entdeckt. Den Namen gab Marie Curie dem Element zu Ehren ihres Heimatlandes Polen.</t>
  </si>
  <si>
    <t xml:space="preserve">Schwefel (chemisch nach dem Lateinischen Sulphur oder Sulfur genannt, im Deutschen eventuell vom Indogermanischen *suel- „schwelen" abgeleitet). </t>
  </si>
  <si>
    <t>Cn</t>
  </si>
  <si>
    <t>(6.)</t>
  </si>
  <si>
    <t>(7.)</t>
  </si>
  <si>
    <t>radioaktives Element, angegeben ist</t>
  </si>
  <si>
    <t>*</t>
  </si>
  <si>
    <r>
      <t xml:space="preserve">Download &amp; weitere Infos: </t>
    </r>
    <r>
      <rPr>
        <sz val="11"/>
        <color rgb="FF0070C0"/>
        <rFont val="Arial"/>
        <family val="2"/>
      </rPr>
      <t>www.bs-wiki.de</t>
    </r>
    <r>
      <rPr>
        <sz val="11"/>
        <rFont val="Arial"/>
        <family val="2"/>
      </rPr>
      <t xml:space="preserve">  -  Giesler, BBS Winsen, </t>
    </r>
  </si>
  <si>
    <r>
      <t xml:space="preserve">Dichte                       </t>
    </r>
    <r>
      <rPr>
        <sz val="8"/>
        <rFont val="Arial"/>
        <family val="2"/>
      </rPr>
      <t xml:space="preserve">bei </t>
    </r>
    <r>
      <rPr>
        <i/>
        <sz val="8"/>
        <rFont val="Arial"/>
        <family val="2"/>
      </rPr>
      <t>T</t>
    </r>
    <r>
      <rPr>
        <sz val="8"/>
        <rFont val="Arial"/>
        <family val="2"/>
      </rPr>
      <t xml:space="preserve">=0°C, </t>
    </r>
    <r>
      <rPr>
        <i/>
        <sz val="8"/>
        <rFont val="Arial"/>
        <family val="2"/>
      </rPr>
      <t>p</t>
    </r>
    <r>
      <rPr>
        <sz val="8"/>
        <rFont val="Arial"/>
        <family val="2"/>
      </rPr>
      <t>=1.013,25 hPa</t>
    </r>
  </si>
  <si>
    <t>Fl</t>
  </si>
  <si>
    <t>Flerovium</t>
  </si>
  <si>
    <t>Livermorium</t>
  </si>
  <si>
    <t>Lv</t>
  </si>
  <si>
    <t>Ununtrium</t>
  </si>
  <si>
    <r>
      <rPr>
        <b/>
        <sz val="10"/>
        <rFont val="Arial"/>
        <family val="2"/>
      </rPr>
      <t>F</t>
    </r>
    <r>
      <rPr>
        <sz val="10"/>
        <rFont val="Arial"/>
        <family val="2"/>
      </rPr>
      <t>ermium</t>
    </r>
  </si>
  <si>
    <r>
      <rPr>
        <b/>
        <sz val="10"/>
        <rFont val="Arial"/>
        <family val="2"/>
      </rPr>
      <t>O</t>
    </r>
    <r>
      <rPr>
        <sz val="10"/>
        <rFont val="Arial"/>
        <family val="2"/>
      </rPr>
      <t>smium</t>
    </r>
  </si>
  <si>
    <r>
      <rPr>
        <b/>
        <sz val="10"/>
        <rFont val="Arial"/>
        <family val="2"/>
      </rPr>
      <t>Q</t>
    </r>
    <r>
      <rPr>
        <sz val="10"/>
        <rFont val="Arial"/>
        <family val="2"/>
      </rPr>
      <t>uecksilber</t>
    </r>
  </si>
  <si>
    <r>
      <rPr>
        <b/>
        <sz val="10"/>
        <rFont val="Arial"/>
        <family val="2"/>
      </rPr>
      <t>U</t>
    </r>
    <r>
      <rPr>
        <sz val="10"/>
        <rFont val="Arial"/>
        <family val="2"/>
      </rPr>
      <t>ran</t>
    </r>
  </si>
  <si>
    <r>
      <rPr>
        <b/>
        <sz val="10"/>
        <rFont val="Arial"/>
        <family val="2"/>
      </rPr>
      <t>V</t>
    </r>
    <r>
      <rPr>
        <sz val="10"/>
        <rFont val="Arial"/>
        <family val="2"/>
      </rPr>
      <t>anadium</t>
    </r>
  </si>
  <si>
    <r>
      <rPr>
        <b/>
        <sz val="10"/>
        <rFont val="Arial"/>
        <family val="2"/>
      </rPr>
      <t>X</t>
    </r>
    <r>
      <rPr>
        <sz val="10"/>
        <rFont val="Arial"/>
        <family val="2"/>
      </rPr>
      <t>enon</t>
    </r>
  </si>
  <si>
    <t>die Atommasse des stabilsten Isotops</t>
  </si>
</sst>
</file>

<file path=xl/styles.xml><?xml version="1.0" encoding="utf-8"?>
<styleSheet xmlns="http://schemas.openxmlformats.org/spreadsheetml/2006/main">
  <numFmts count="3">
    <numFmt numFmtId="164" formatCode="0.000"/>
    <numFmt numFmtId="165" formatCode="#,##0.000"/>
    <numFmt numFmtId="166" formatCode="d/m/yyyy"/>
  </numFmts>
  <fonts count="56">
    <font>
      <sz val="11"/>
      <name val="Arial"/>
    </font>
    <font>
      <sz val="11"/>
      <name val="Arial"/>
      <family val="2"/>
    </font>
    <font>
      <sz val="8"/>
      <name val="Arial"/>
      <family val="2"/>
    </font>
    <font>
      <sz val="20"/>
      <name val="Arial"/>
      <family val="2"/>
    </font>
    <font>
      <sz val="12"/>
      <name val="Arial"/>
      <family val="2"/>
    </font>
    <font>
      <i/>
      <sz val="8"/>
      <name val="Arial"/>
      <family val="2"/>
    </font>
    <font>
      <b/>
      <sz val="12.5"/>
      <name val="Arial"/>
      <family val="2"/>
    </font>
    <font>
      <sz val="9"/>
      <name val="Arial"/>
      <family val="2"/>
    </font>
    <font>
      <sz val="11"/>
      <name val="Arial"/>
      <family val="2"/>
    </font>
    <font>
      <i/>
      <sz val="10"/>
      <name val="Arial"/>
      <family val="2"/>
    </font>
    <font>
      <b/>
      <sz val="24"/>
      <name val="Arial"/>
      <family val="2"/>
    </font>
    <font>
      <sz val="8.5"/>
      <name val="Arial"/>
      <family val="2"/>
    </font>
    <font>
      <sz val="9.5"/>
      <name val="Arial"/>
      <family val="2"/>
    </font>
    <font>
      <b/>
      <sz val="10"/>
      <name val="Arial"/>
      <family val="2"/>
    </font>
    <font>
      <sz val="10"/>
      <name val="Arial"/>
      <family val="2"/>
    </font>
    <font>
      <b/>
      <u/>
      <sz val="24"/>
      <name val="Arial"/>
      <family val="2"/>
    </font>
    <font>
      <b/>
      <u/>
      <sz val="16"/>
      <name val="Arial"/>
      <family val="2"/>
    </font>
    <font>
      <sz val="14"/>
      <name val="Arial"/>
      <family val="2"/>
    </font>
    <font>
      <sz val="11"/>
      <color indexed="48"/>
      <name val="Arial"/>
      <family val="2"/>
    </font>
    <font>
      <b/>
      <sz val="12.5"/>
      <color indexed="48"/>
      <name val="Arial"/>
      <family val="2"/>
    </font>
    <font>
      <sz val="8"/>
      <color indexed="10"/>
      <name val="Arial"/>
      <family val="2"/>
    </font>
    <font>
      <sz val="20"/>
      <color indexed="10"/>
      <name val="Arial"/>
      <family val="2"/>
    </font>
    <font>
      <b/>
      <sz val="12.5"/>
      <color indexed="22"/>
      <name val="Arial"/>
      <family val="2"/>
    </font>
    <font>
      <sz val="9.5"/>
      <color indexed="22"/>
      <name val="Arial"/>
      <family val="2"/>
    </font>
    <font>
      <b/>
      <sz val="24"/>
      <color indexed="22"/>
      <name val="Arial"/>
      <family val="2"/>
    </font>
    <font>
      <sz val="11"/>
      <color indexed="22"/>
      <name val="Arial"/>
      <family val="2"/>
    </font>
    <font>
      <i/>
      <sz val="10"/>
      <color indexed="22"/>
      <name val="Arial"/>
      <family val="2"/>
    </font>
    <font>
      <sz val="9"/>
      <color indexed="22"/>
      <name val="Arial"/>
      <family val="2"/>
    </font>
    <font>
      <sz val="8.5"/>
      <color indexed="22"/>
      <name val="Arial"/>
      <family val="2"/>
    </font>
    <font>
      <vertAlign val="superscript"/>
      <sz val="8"/>
      <name val="Arial"/>
      <family val="2"/>
    </font>
    <font>
      <sz val="11"/>
      <color indexed="10"/>
      <name val="Arial"/>
      <family val="2"/>
    </font>
    <font>
      <b/>
      <sz val="11"/>
      <name val="Arial"/>
      <family val="2"/>
    </font>
    <font>
      <b/>
      <sz val="11"/>
      <color indexed="10"/>
      <name val="Arial"/>
      <family val="2"/>
    </font>
    <font>
      <sz val="12"/>
      <color indexed="10"/>
      <name val="Arial"/>
      <family val="2"/>
    </font>
    <font>
      <b/>
      <sz val="14"/>
      <name val="Arial"/>
      <family val="2"/>
    </font>
    <font>
      <sz val="9"/>
      <color indexed="10"/>
      <name val="Arial"/>
      <family val="2"/>
    </font>
    <font>
      <b/>
      <u/>
      <sz val="12.5"/>
      <name val="Arial"/>
      <family val="2"/>
    </font>
    <font>
      <b/>
      <sz val="12.5"/>
      <color indexed="25"/>
      <name val="Arial"/>
      <family val="2"/>
    </font>
    <font>
      <sz val="11"/>
      <color indexed="61"/>
      <name val="Arial"/>
      <family val="2"/>
    </font>
    <font>
      <sz val="12.5"/>
      <color indexed="48"/>
      <name val="Arial"/>
      <family val="2"/>
    </font>
    <font>
      <b/>
      <sz val="36"/>
      <name val="Arial"/>
      <family val="2"/>
    </font>
    <font>
      <sz val="11"/>
      <color indexed="8"/>
      <name val="Arial"/>
      <family val="2"/>
    </font>
    <font>
      <sz val="12"/>
      <name val="Times New Roman"/>
      <family val="1"/>
    </font>
    <font>
      <sz val="8"/>
      <color indexed="8"/>
      <name val="Verdana"/>
      <family val="2"/>
    </font>
    <font>
      <sz val="11"/>
      <name val="Times New Roman"/>
      <family val="1"/>
    </font>
    <font>
      <sz val="11"/>
      <color indexed="8"/>
      <name val="Verdana"/>
      <family val="2"/>
    </font>
    <font>
      <sz val="11"/>
      <name val="Arial"/>
      <family val="2"/>
    </font>
    <font>
      <b/>
      <u/>
      <sz val="24"/>
      <color indexed="48"/>
      <name val="Arial"/>
      <family val="2"/>
    </font>
    <font>
      <b/>
      <sz val="24"/>
      <color indexed="48"/>
      <name val="Arial"/>
      <family val="2"/>
    </font>
    <font>
      <b/>
      <u/>
      <sz val="24"/>
      <color indexed="52"/>
      <name val="Arial"/>
      <family val="2"/>
    </font>
    <font>
      <sz val="11"/>
      <color indexed="52"/>
      <name val="Arial"/>
      <family val="2"/>
    </font>
    <font>
      <b/>
      <sz val="24"/>
      <color indexed="52"/>
      <name val="Arial"/>
      <family val="2"/>
    </font>
    <font>
      <sz val="11"/>
      <color rgb="FF0070C0"/>
      <name val="Arial"/>
      <family val="2"/>
    </font>
    <font>
      <b/>
      <sz val="7.5"/>
      <name val="Arial"/>
      <family val="2"/>
    </font>
    <font>
      <sz val="10"/>
      <color theme="0" tint="-0.499984740745262"/>
      <name val="Arial"/>
      <family val="2"/>
    </font>
    <font>
      <sz val="9.5"/>
      <color theme="0" tint="-0.499984740745262"/>
      <name val="Arial"/>
      <family val="2"/>
    </font>
  </fonts>
  <fills count="9">
    <fill>
      <patternFill patternType="none"/>
    </fill>
    <fill>
      <patternFill patternType="gray125"/>
    </fill>
    <fill>
      <patternFill patternType="lightGray">
        <bgColor indexed="9"/>
      </patternFill>
    </fill>
    <fill>
      <patternFill patternType="solid">
        <fgColor indexed="26"/>
        <bgColor indexed="64"/>
      </patternFill>
    </fill>
    <fill>
      <patternFill patternType="solid">
        <fgColor indexed="13"/>
        <bgColor indexed="64"/>
      </patternFill>
    </fill>
    <fill>
      <patternFill patternType="solid">
        <fgColor indexed="9"/>
        <bgColor indexed="64"/>
      </patternFill>
    </fill>
    <fill>
      <patternFill patternType="lightGray">
        <fgColor indexed="26"/>
        <bgColor indexed="13"/>
      </patternFill>
    </fill>
    <fill>
      <patternFill patternType="solid">
        <fgColor indexed="65"/>
        <bgColor indexed="64"/>
      </patternFill>
    </fill>
    <fill>
      <patternFill patternType="solid">
        <fgColor theme="0" tint="-0.14999847407452621"/>
        <bgColor indexed="64"/>
      </patternFill>
    </fill>
  </fills>
  <borders count="17">
    <border>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theme="0" tint="-0.499984740745262"/>
      </right>
      <top style="thin">
        <color indexed="64"/>
      </top>
      <bottom/>
      <diagonal/>
    </border>
    <border>
      <left/>
      <right style="thin">
        <color theme="0" tint="-0.499984740745262"/>
      </right>
      <top/>
      <bottom/>
      <diagonal/>
    </border>
    <border>
      <left/>
      <right style="thin">
        <color theme="0" tint="-0.499984740745262"/>
      </right>
      <top/>
      <bottom style="thin">
        <color indexed="64"/>
      </bottom>
      <diagonal/>
    </border>
  </borders>
  <cellStyleXfs count="13">
    <xf numFmtId="0" fontId="0" fillId="0" borderId="0"/>
    <xf numFmtId="165" fontId="12" fillId="0" borderId="1">
      <alignment horizontal="right"/>
    </xf>
    <xf numFmtId="0" fontId="11" fillId="0" borderId="2">
      <alignment horizontal="left" vertical="center" wrapText="1"/>
    </xf>
    <xf numFmtId="0" fontId="15" fillId="2" borderId="3" applyNumberFormat="0" applyAlignment="0">
      <alignment horizontal="center"/>
    </xf>
    <xf numFmtId="0" fontId="11" fillId="0" borderId="4">
      <alignment horizontal="left" vertical="top" wrapText="1"/>
    </xf>
    <xf numFmtId="0" fontId="9" fillId="0" borderId="4"/>
    <xf numFmtId="0" fontId="1" fillId="0" borderId="0" applyFont="0" applyAlignment="0">
      <alignment horizontal="right"/>
    </xf>
    <xf numFmtId="0" fontId="8" fillId="0" borderId="4" applyBorder="0">
      <alignment horizontal="center"/>
    </xf>
    <xf numFmtId="0" fontId="6" fillId="0" borderId="5">
      <alignment horizontal="left"/>
    </xf>
    <xf numFmtId="0" fontId="3" fillId="0" borderId="0">
      <alignment horizontal="center"/>
    </xf>
    <xf numFmtId="0" fontId="7" fillId="0" borderId="6">
      <alignment horizontal="right"/>
    </xf>
    <xf numFmtId="0" fontId="7" fillId="0" borderId="3">
      <alignment horizontal="right"/>
    </xf>
    <xf numFmtId="0" fontId="10" fillId="0" borderId="3">
      <alignment horizontal="center"/>
    </xf>
  </cellStyleXfs>
  <cellXfs count="235">
    <xf numFmtId="0" fontId="0" fillId="0" borderId="0" xfId="0"/>
    <xf numFmtId="0" fontId="2" fillId="0" borderId="0" xfId="0" applyFont="1" applyBorder="1"/>
    <xf numFmtId="0" fontId="4" fillId="0" borderId="0" xfId="0" applyFont="1" applyBorder="1"/>
    <xf numFmtId="3" fontId="2" fillId="0" borderId="0" xfId="0" applyNumberFormat="1" applyFont="1" applyBorder="1"/>
    <xf numFmtId="0" fontId="3" fillId="0" borderId="0" xfId="0" applyFont="1" applyBorder="1"/>
    <xf numFmtId="0" fontId="5" fillId="0" borderId="0" xfId="0" applyFont="1" applyBorder="1"/>
    <xf numFmtId="0" fontId="6" fillId="0" borderId="5" xfId="8">
      <alignment horizontal="left"/>
    </xf>
    <xf numFmtId="0" fontId="9" fillId="0" borderId="4" xfId="5"/>
    <xf numFmtId="0" fontId="11" fillId="0" borderId="0" xfId="4" applyBorder="1">
      <alignment horizontal="left" vertical="top" wrapText="1"/>
    </xf>
    <xf numFmtId="0" fontId="9" fillId="0" borderId="0" xfId="5" applyBorder="1"/>
    <xf numFmtId="0" fontId="7" fillId="0" borderId="0" xfId="10" applyBorder="1">
      <alignment horizontal="right"/>
    </xf>
    <xf numFmtId="0" fontId="6" fillId="0" borderId="0" xfId="8" applyBorder="1">
      <alignment horizontal="left"/>
    </xf>
    <xf numFmtId="165" fontId="12" fillId="0" borderId="0" xfId="1" applyBorder="1">
      <alignment horizontal="right"/>
    </xf>
    <xf numFmtId="0" fontId="10" fillId="0" borderId="0" xfId="12" applyBorder="1">
      <alignment horizontal="center"/>
    </xf>
    <xf numFmtId="0" fontId="8" fillId="0" borderId="0" xfId="7" applyBorder="1">
      <alignment horizontal="center"/>
    </xf>
    <xf numFmtId="0" fontId="7" fillId="0" borderId="0" xfId="11" applyBorder="1">
      <alignment horizontal="right"/>
    </xf>
    <xf numFmtId="0" fontId="6" fillId="0" borderId="5" xfId="8" applyBorder="1">
      <alignment horizontal="left"/>
    </xf>
    <xf numFmtId="165" fontId="12" fillId="0" borderId="1" xfId="1" applyBorder="1">
      <alignment horizontal="right"/>
    </xf>
    <xf numFmtId="0" fontId="11" fillId="0" borderId="4" xfId="4" applyBorder="1">
      <alignment horizontal="left" vertical="top" wrapText="1"/>
    </xf>
    <xf numFmtId="0" fontId="10" fillId="0" borderId="3" xfId="12" applyBorder="1">
      <alignment horizontal="center"/>
    </xf>
    <xf numFmtId="0" fontId="9" fillId="0" borderId="4" xfId="5" applyBorder="1"/>
    <xf numFmtId="0" fontId="7" fillId="0" borderId="3" xfId="11" applyBorder="1">
      <alignment horizontal="right"/>
    </xf>
    <xf numFmtId="0" fontId="7" fillId="0" borderId="6" xfId="10" applyBorder="1">
      <alignment horizontal="right"/>
    </xf>
    <xf numFmtId="0" fontId="11" fillId="0" borderId="2" xfId="2">
      <alignment horizontal="left" vertical="center" wrapText="1"/>
    </xf>
    <xf numFmtId="0" fontId="6" fillId="0" borderId="4" xfId="8" applyBorder="1">
      <alignment horizontal="left"/>
    </xf>
    <xf numFmtId="0" fontId="11" fillId="0" borderId="2" xfId="2" applyBorder="1">
      <alignment horizontal="left" vertical="center" wrapText="1"/>
    </xf>
    <xf numFmtId="0" fontId="14" fillId="0" borderId="7" xfId="0" applyFont="1" applyBorder="1"/>
    <xf numFmtId="0" fontId="14" fillId="0" borderId="0" xfId="0" applyFont="1" applyAlignment="1">
      <alignment horizontal="left"/>
    </xf>
    <xf numFmtId="0" fontId="14" fillId="0" borderId="0" xfId="0" applyFont="1"/>
    <xf numFmtId="0" fontId="14" fillId="0" borderId="0" xfId="0" applyFont="1" applyAlignment="1">
      <alignment horizontal="right"/>
    </xf>
    <xf numFmtId="0" fontId="10" fillId="0" borderId="0" xfId="12" applyFont="1" applyBorder="1" applyAlignment="1">
      <alignment horizontal="left"/>
    </xf>
    <xf numFmtId="0" fontId="10" fillId="0" borderId="0" xfId="12" applyBorder="1" applyAlignment="1">
      <alignment horizontal="left"/>
    </xf>
    <xf numFmtId="0" fontId="10" fillId="0" borderId="0" xfId="12" applyBorder="1" applyAlignment="1">
      <alignment horizontal="center"/>
    </xf>
    <xf numFmtId="0" fontId="6" fillId="3" borderId="5" xfId="8" applyFill="1" applyBorder="1">
      <alignment horizontal="left"/>
    </xf>
    <xf numFmtId="165" fontId="12" fillId="3" borderId="1" xfId="1" applyFill="1" applyBorder="1">
      <alignment horizontal="right"/>
    </xf>
    <xf numFmtId="0" fontId="9" fillId="3" borderId="4" xfId="5" applyFill="1" applyBorder="1"/>
    <xf numFmtId="0" fontId="7" fillId="3" borderId="3" xfId="11" applyFill="1" applyBorder="1">
      <alignment horizontal="right"/>
    </xf>
    <xf numFmtId="0" fontId="7" fillId="3" borderId="6" xfId="10" applyFill="1" applyBorder="1">
      <alignment horizontal="right"/>
    </xf>
    <xf numFmtId="0" fontId="18" fillId="0" borderId="0" xfId="0" applyFont="1" applyBorder="1" applyAlignment="1">
      <alignment horizontal="left"/>
    </xf>
    <xf numFmtId="0" fontId="20" fillId="0" borderId="0" xfId="0" applyFont="1" applyBorder="1"/>
    <xf numFmtId="0" fontId="22" fillId="0" borderId="5" xfId="8" applyFont="1" applyBorder="1">
      <alignment horizontal="left"/>
    </xf>
    <xf numFmtId="165" fontId="23" fillId="0" borderId="1" xfId="1" applyFont="1" applyBorder="1">
      <alignment horizontal="right"/>
    </xf>
    <xf numFmtId="0" fontId="26" fillId="0" borderId="4" xfId="5" applyFont="1" applyBorder="1"/>
    <xf numFmtId="0" fontId="27" fillId="0" borderId="3" xfId="11" applyFont="1" applyBorder="1">
      <alignment horizontal="right"/>
    </xf>
    <xf numFmtId="0" fontId="28" fillId="0" borderId="2" xfId="2" applyFont="1" applyBorder="1">
      <alignment horizontal="left" vertical="center" wrapText="1"/>
    </xf>
    <xf numFmtId="0" fontId="27" fillId="0" borderId="6" xfId="10" applyFont="1" applyBorder="1">
      <alignment horizontal="right"/>
    </xf>
    <xf numFmtId="0" fontId="30" fillId="0" borderId="0" xfId="0" applyFont="1"/>
    <xf numFmtId="0" fontId="31" fillId="0" borderId="0" xfId="0" applyFont="1"/>
    <xf numFmtId="0" fontId="32" fillId="0" borderId="0" xfId="0" applyFont="1"/>
    <xf numFmtId="0" fontId="12" fillId="0" borderId="1" xfId="1" applyNumberFormat="1" applyBorder="1">
      <alignment horizontal="right"/>
    </xf>
    <xf numFmtId="0" fontId="6" fillId="0" borderId="0" xfId="8" applyBorder="1" applyAlignment="1">
      <alignment horizontal="left" vertical="center"/>
    </xf>
    <xf numFmtId="49" fontId="33" fillId="0" borderId="0" xfId="0" applyNumberFormat="1" applyFont="1" applyBorder="1" applyAlignment="1">
      <alignment horizontal="left" vertical="center"/>
    </xf>
    <xf numFmtId="0" fontId="0" fillId="0" borderId="0" xfId="6" applyFont="1" applyBorder="1" applyAlignment="1">
      <alignment horizontal="right"/>
    </xf>
    <xf numFmtId="0" fontId="2" fillId="0" borderId="0" xfId="6" applyFont="1" applyBorder="1" applyAlignment="1"/>
    <xf numFmtId="0" fontId="2" fillId="0" borderId="0" xfId="6" applyFont="1" applyBorder="1" applyAlignment="1">
      <alignment horizontal="right" vertical="top"/>
    </xf>
    <xf numFmtId="14" fontId="7" fillId="0" borderId="0" xfId="11" applyNumberFormat="1" applyBorder="1">
      <alignment horizontal="right"/>
    </xf>
    <xf numFmtId="166" fontId="7" fillId="0" borderId="0" xfId="11" applyNumberFormat="1" applyBorder="1">
      <alignment horizontal="right"/>
    </xf>
    <xf numFmtId="14" fontId="35" fillId="0" borderId="0" xfId="10" applyNumberFormat="1" applyFont="1" applyBorder="1" applyAlignment="1"/>
    <xf numFmtId="0" fontId="6" fillId="0" borderId="0" xfId="8" applyFill="1" applyBorder="1">
      <alignment horizontal="left"/>
    </xf>
    <xf numFmtId="0" fontId="16" fillId="0" borderId="0" xfId="12" applyFont="1" applyFill="1" applyBorder="1" applyAlignment="1">
      <alignment horizontal="left"/>
    </xf>
    <xf numFmtId="0" fontId="9" fillId="0" borderId="0" xfId="5" applyFill="1" applyBorder="1"/>
    <xf numFmtId="0" fontId="11" fillId="0" borderId="0" xfId="2" applyFill="1" applyBorder="1">
      <alignment horizontal="left" vertical="center" wrapText="1"/>
    </xf>
    <xf numFmtId="0" fontId="19" fillId="0" borderId="0" xfId="8" applyFont="1" applyBorder="1" applyAlignment="1">
      <alignment horizontal="left" vertical="center"/>
    </xf>
    <xf numFmtId="0" fontId="2" fillId="0" borderId="0" xfId="0" applyFont="1" applyBorder="1" applyAlignment="1">
      <alignment vertical="center"/>
    </xf>
    <xf numFmtId="0" fontId="11" fillId="0" borderId="4" xfId="4" applyBorder="1" applyAlignment="1">
      <alignment horizontal="left" vertical="center" wrapText="1"/>
    </xf>
    <xf numFmtId="0" fontId="10" fillId="0" borderId="3" xfId="12" applyBorder="1" applyAlignment="1">
      <alignment horizontal="center" vertical="center"/>
    </xf>
    <xf numFmtId="0" fontId="11" fillId="0" borderId="0" xfId="4" applyBorder="1" applyAlignment="1">
      <alignment horizontal="left" vertical="center" wrapText="1"/>
    </xf>
    <xf numFmtId="0" fontId="10" fillId="0" borderId="0" xfId="12" applyBorder="1" applyAlignment="1">
      <alignment horizontal="center" vertical="center"/>
    </xf>
    <xf numFmtId="0" fontId="21" fillId="0" borderId="0" xfId="9" applyFont="1" applyBorder="1" applyAlignment="1">
      <alignment horizontal="center" vertical="center"/>
    </xf>
    <xf numFmtId="0" fontId="10" fillId="0" borderId="3" xfId="12" applyBorder="1" applyAlignment="1">
      <alignment horizontal="left" vertical="center"/>
    </xf>
    <xf numFmtId="0" fontId="11" fillId="3" borderId="4" xfId="4" applyFill="1" applyBorder="1" applyAlignment="1">
      <alignment horizontal="left" vertical="center" wrapText="1"/>
    </xf>
    <xf numFmtId="0" fontId="21" fillId="0" borderId="0" xfId="9" applyFont="1" applyBorder="1" applyAlignment="1">
      <alignment horizontal="left" vertical="center"/>
    </xf>
    <xf numFmtId="0" fontId="41" fillId="0" borderId="0" xfId="0" applyFont="1" applyFill="1" applyBorder="1"/>
    <xf numFmtId="0" fontId="42" fillId="0" borderId="0" xfId="0" applyFont="1"/>
    <xf numFmtId="4" fontId="12" fillId="0" borderId="1" xfId="1" applyNumberFormat="1" applyBorder="1">
      <alignment horizontal="right"/>
    </xf>
    <xf numFmtId="164" fontId="12" fillId="0" borderId="1" xfId="1" applyNumberFormat="1" applyBorder="1">
      <alignment horizontal="right"/>
    </xf>
    <xf numFmtId="164" fontId="12" fillId="3" borderId="1" xfId="1" applyNumberFormat="1" applyFill="1" applyBorder="1">
      <alignment horizontal="right"/>
    </xf>
    <xf numFmtId="2" fontId="12" fillId="0" borderId="1" xfId="1" applyNumberFormat="1" applyBorder="1">
      <alignment horizontal="right"/>
    </xf>
    <xf numFmtId="0" fontId="0" fillId="4" borderId="0" xfId="0" applyFill="1"/>
    <xf numFmtId="0" fontId="43" fillId="4" borderId="0" xfId="0" applyFont="1" applyFill="1" applyBorder="1" applyAlignment="1">
      <alignment wrapText="1"/>
    </xf>
    <xf numFmtId="0" fontId="1" fillId="0" borderId="0" xfId="0" applyFont="1" applyAlignment="1">
      <alignment horizontal="center"/>
    </xf>
    <xf numFmtId="0" fontId="44" fillId="0" borderId="0" xfId="0" applyFont="1" applyAlignment="1">
      <alignment horizontal="center"/>
    </xf>
    <xf numFmtId="0" fontId="45" fillId="4" borderId="0" xfId="0" applyFont="1" applyFill="1" applyBorder="1" applyAlignment="1">
      <alignment horizontal="center" wrapText="1"/>
    </xf>
    <xf numFmtId="0" fontId="46" fillId="0" borderId="0" xfId="0" applyFont="1" applyAlignment="1">
      <alignment horizontal="center"/>
    </xf>
    <xf numFmtId="0" fontId="46" fillId="4" borderId="0" xfId="0" applyFont="1" applyFill="1" applyAlignment="1">
      <alignment horizontal="center"/>
    </xf>
    <xf numFmtId="11" fontId="0" fillId="0" borderId="8" xfId="0" applyNumberFormat="1" applyBorder="1" applyAlignment="1">
      <alignment horizontal="center"/>
    </xf>
    <xf numFmtId="11" fontId="14" fillId="0" borderId="8" xfId="0" applyNumberFormat="1" applyFont="1" applyBorder="1" applyAlignment="1">
      <alignment horizontal="center"/>
    </xf>
    <xf numFmtId="0" fontId="0" fillId="0" borderId="0" xfId="0" applyAlignment="1">
      <alignment wrapText="1"/>
    </xf>
    <xf numFmtId="0" fontId="0" fillId="0" borderId="0" xfId="0" quotePrefix="1" applyAlignment="1">
      <alignment wrapText="1"/>
    </xf>
    <xf numFmtId="0" fontId="41" fillId="0" borderId="0" xfId="0" quotePrefix="1" applyFont="1" applyFill="1" applyBorder="1"/>
    <xf numFmtId="0" fontId="6" fillId="0" borderId="0" xfId="8" applyBorder="1" applyAlignment="1">
      <alignment horizontal="left" vertical="center" wrapText="1"/>
    </xf>
    <xf numFmtId="0" fontId="2" fillId="0" borderId="0" xfId="0" applyFont="1" applyBorder="1" applyAlignment="1">
      <alignment horizontal="left" wrapText="1"/>
    </xf>
    <xf numFmtId="0" fontId="10" fillId="0" borderId="0" xfId="12" applyBorder="1" applyAlignment="1">
      <alignment horizontal="left" wrapText="1"/>
    </xf>
    <xf numFmtId="0" fontId="8" fillId="0" borderId="0" xfId="7" applyBorder="1" applyAlignment="1">
      <alignment horizontal="left" wrapText="1"/>
    </xf>
    <xf numFmtId="0" fontId="7" fillId="0" borderId="0" xfId="11" applyBorder="1" applyAlignment="1">
      <alignment horizontal="left" wrapText="1"/>
    </xf>
    <xf numFmtId="0" fontId="19" fillId="0" borderId="0" xfId="8" applyFont="1" applyBorder="1" applyAlignment="1">
      <alignment horizontal="left" vertical="center" wrapText="1"/>
    </xf>
    <xf numFmtId="165" fontId="12" fillId="0" borderId="0" xfId="1" applyBorder="1" applyAlignment="1">
      <alignment horizontal="left" wrapText="1"/>
    </xf>
    <xf numFmtId="0" fontId="10" fillId="0" borderId="0" xfId="12" applyBorder="1" applyAlignment="1">
      <alignment horizontal="left" vertical="center" wrapText="1"/>
    </xf>
    <xf numFmtId="0" fontId="7" fillId="0" borderId="0" xfId="10" applyBorder="1" applyAlignment="1">
      <alignment horizontal="left" wrapText="1"/>
    </xf>
    <xf numFmtId="0" fontId="12" fillId="0" borderId="0" xfId="1" applyNumberFormat="1" applyBorder="1" applyAlignment="1">
      <alignment horizontal="left" wrapText="1"/>
    </xf>
    <xf numFmtId="3" fontId="2" fillId="0" borderId="0" xfId="0" applyNumberFormat="1" applyFont="1" applyBorder="1" applyAlignment="1">
      <alignment horizontal="left" wrapText="1"/>
    </xf>
    <xf numFmtId="0" fontId="3" fillId="0" borderId="0" xfId="0" applyFont="1" applyBorder="1" applyAlignment="1">
      <alignment horizontal="left" wrapText="1"/>
    </xf>
    <xf numFmtId="0" fontId="2" fillId="0" borderId="0" xfId="0" applyFont="1" applyBorder="1" applyAlignment="1">
      <alignment horizontal="left" vertical="center" wrapText="1"/>
    </xf>
    <xf numFmtId="4" fontId="0" fillId="5" borderId="8" xfId="0" applyNumberFormat="1" applyFill="1" applyBorder="1" applyAlignment="1">
      <alignment wrapText="1"/>
    </xf>
    <xf numFmtId="0" fontId="0" fillId="4" borderId="0" xfId="0" applyFill="1" applyAlignment="1">
      <alignment wrapText="1"/>
    </xf>
    <xf numFmtId="0" fontId="31" fillId="4" borderId="0" xfId="0" applyFont="1" applyFill="1" applyAlignment="1">
      <alignment wrapText="1"/>
    </xf>
    <xf numFmtId="49" fontId="31" fillId="0" borderId="0" xfId="0" applyNumberFormat="1" applyFont="1"/>
    <xf numFmtId="49" fontId="41" fillId="0" borderId="0" xfId="0" quotePrefix="1" applyNumberFormat="1" applyFont="1" applyFill="1" applyBorder="1"/>
    <xf numFmtId="49" fontId="41" fillId="0" borderId="0" xfId="0" applyNumberFormat="1" applyFont="1" applyFill="1" applyBorder="1"/>
    <xf numFmtId="49" fontId="0" fillId="0" borderId="0" xfId="0" applyNumberFormat="1"/>
    <xf numFmtId="0" fontId="15" fillId="6" borderId="3" xfId="3" applyFont="1" applyFill="1" applyBorder="1" applyAlignment="1">
      <alignment horizontal="center" vertical="center"/>
    </xf>
    <xf numFmtId="0" fontId="51" fillId="0" borderId="3" xfId="12" applyFont="1" applyBorder="1" applyAlignment="1">
      <alignment horizontal="center" vertical="center"/>
    </xf>
    <xf numFmtId="0" fontId="6" fillId="4" borderId="5" xfId="8" applyFill="1" applyBorder="1">
      <alignment horizontal="left"/>
    </xf>
    <xf numFmtId="165" fontId="12" fillId="4" borderId="1" xfId="1" applyFill="1" applyBorder="1">
      <alignment horizontal="right"/>
    </xf>
    <xf numFmtId="0" fontId="11" fillId="4" borderId="4" xfId="4" applyFill="1" applyBorder="1" applyAlignment="1">
      <alignment horizontal="left" vertical="center" wrapText="1"/>
    </xf>
    <xf numFmtId="0" fontId="47" fillId="4" borderId="3" xfId="3" applyFont="1" applyFill="1" applyAlignment="1">
      <alignment horizontal="center" vertical="center"/>
    </xf>
    <xf numFmtId="0" fontId="9" fillId="4" borderId="4" xfId="5" applyFill="1" applyBorder="1"/>
    <xf numFmtId="0" fontId="7" fillId="4" borderId="3" xfId="11" applyFill="1" applyBorder="1">
      <alignment horizontal="right"/>
    </xf>
    <xf numFmtId="0" fontId="11" fillId="4" borderId="2" xfId="2" applyFill="1" applyBorder="1">
      <alignment horizontal="left" vertical="center" wrapText="1"/>
    </xf>
    <xf numFmtId="0" fontId="7" fillId="4" borderId="6" xfId="10" applyFill="1" applyBorder="1">
      <alignment horizontal="right"/>
    </xf>
    <xf numFmtId="0" fontId="6" fillId="6" borderId="5" xfId="8" applyFill="1" applyBorder="1">
      <alignment horizontal="left"/>
    </xf>
    <xf numFmtId="165" fontId="12" fillId="6" borderId="1" xfId="1" applyFill="1" applyBorder="1">
      <alignment horizontal="right"/>
    </xf>
    <xf numFmtId="0" fontId="11" fillId="6" borderId="4" xfId="4" applyFill="1" applyBorder="1" applyAlignment="1">
      <alignment horizontal="left" vertical="center" wrapText="1"/>
    </xf>
    <xf numFmtId="0" fontId="48" fillId="6" borderId="3" xfId="3" applyFont="1" applyFill="1" applyBorder="1" applyAlignment="1">
      <alignment horizontal="center" vertical="center"/>
    </xf>
    <xf numFmtId="0" fontId="9" fillId="6" borderId="4" xfId="5" applyFill="1" applyBorder="1"/>
    <xf numFmtId="0" fontId="7" fillId="6" borderId="3" xfId="11" applyFill="1" applyBorder="1">
      <alignment horizontal="right"/>
    </xf>
    <xf numFmtId="0" fontId="11" fillId="6" borderId="2" xfId="2" applyFill="1" applyBorder="1">
      <alignment horizontal="left" vertical="center" wrapText="1"/>
    </xf>
    <xf numFmtId="0" fontId="7" fillId="6" borderId="6" xfId="10" applyFill="1" applyBorder="1">
      <alignment horizontal="right"/>
    </xf>
    <xf numFmtId="164" fontId="12" fillId="6" borderId="1" xfId="1" applyNumberFormat="1" applyFill="1" applyBorder="1">
      <alignment horizontal="right"/>
    </xf>
    <xf numFmtId="0" fontId="10" fillId="6" borderId="3" xfId="3" applyFont="1" applyFill="1" applyBorder="1" applyAlignment="1">
      <alignment horizontal="center" vertical="center"/>
    </xf>
    <xf numFmtId="0" fontId="12" fillId="6" borderId="1" xfId="1" applyNumberFormat="1" applyFill="1" applyBorder="1">
      <alignment horizontal="right"/>
    </xf>
    <xf numFmtId="0" fontId="49" fillId="6" borderId="3" xfId="3" applyFont="1" applyFill="1" applyBorder="1" applyAlignment="1">
      <alignment horizontal="center" vertical="center"/>
    </xf>
    <xf numFmtId="164" fontId="12" fillId="4" borderId="1" xfId="1" applyNumberFormat="1" applyFill="1" applyBorder="1">
      <alignment horizontal="right"/>
    </xf>
    <xf numFmtId="0" fontId="10" fillId="3" borderId="3" xfId="12" applyFill="1" applyBorder="1" applyAlignment="1">
      <alignment horizontal="center" vertical="center"/>
    </xf>
    <xf numFmtId="0" fontId="11" fillId="3" borderId="2" xfId="2" applyFill="1">
      <alignment horizontal="left" vertical="center" wrapText="1"/>
    </xf>
    <xf numFmtId="0" fontId="12" fillId="3" borderId="1" xfId="1" applyNumberFormat="1" applyFill="1" applyBorder="1">
      <alignment horizontal="right"/>
    </xf>
    <xf numFmtId="0" fontId="6" fillId="0" borderId="11" xfId="8" applyFont="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0" xfId="0" applyNumberFormat="1" applyBorder="1" applyAlignment="1">
      <alignment horizontal="center" vertical="center"/>
    </xf>
    <xf numFmtId="0" fontId="8" fillId="0" borderId="0" xfId="0" applyFont="1" applyBorder="1" applyAlignment="1">
      <alignment horizontal="left" vertical="center"/>
    </xf>
    <xf numFmtId="0" fontId="8" fillId="0" borderId="0" xfId="0" applyFont="1" applyBorder="1" applyAlignment="1">
      <alignment horizontal="left"/>
    </xf>
    <xf numFmtId="0" fontId="8" fillId="0" borderId="0" xfId="0" applyFont="1" applyBorder="1" applyAlignment="1">
      <alignment horizontal="right"/>
    </xf>
    <xf numFmtId="0" fontId="0" fillId="0" borderId="0" xfId="0" applyBorder="1" applyAlignment="1">
      <alignment horizontal="left"/>
    </xf>
    <xf numFmtId="0" fontId="0" fillId="0" borderId="0" xfId="0" applyBorder="1"/>
    <xf numFmtId="0" fontId="0" fillId="0" borderId="0" xfId="0" applyNumberFormat="1" applyBorder="1" applyAlignment="1">
      <alignment horizontal="left" vertical="center"/>
    </xf>
    <xf numFmtId="0" fontId="8" fillId="0" borderId="0" xfId="0" applyNumberFormat="1" applyFont="1" applyBorder="1" applyAlignment="1">
      <alignment horizontal="right" vertical="center"/>
    </xf>
    <xf numFmtId="0" fontId="8" fillId="0" borderId="0" xfId="0" applyFont="1"/>
    <xf numFmtId="0" fontId="8" fillId="0" borderId="0" xfId="7" applyNumberFormat="1" applyFont="1" applyBorder="1" applyAlignment="1">
      <alignment horizontal="right" vertical="center"/>
    </xf>
    <xf numFmtId="165" fontId="12" fillId="0" borderId="0" xfId="1" applyFill="1" applyBorder="1">
      <alignment horizontal="right"/>
    </xf>
    <xf numFmtId="0" fontId="15" fillId="0" borderId="0" xfId="3" applyFont="1" applyFill="1" applyBorder="1">
      <alignment horizontal="center"/>
    </xf>
    <xf numFmtId="0" fontId="7" fillId="0" borderId="0" xfId="11" applyFill="1" applyBorder="1">
      <alignment horizontal="right"/>
    </xf>
    <xf numFmtId="0" fontId="7" fillId="0" borderId="0" xfId="10" applyFill="1" applyBorder="1">
      <alignment horizontal="right"/>
    </xf>
    <xf numFmtId="0" fontId="0" fillId="0" borderId="0" xfId="0" applyBorder="1" applyAlignment="1">
      <alignment wrapText="1"/>
    </xf>
    <xf numFmtId="0" fontId="8" fillId="0" borderId="0" xfId="0" applyFont="1" applyBorder="1" applyAlignment="1">
      <alignment horizontal="left" vertical="top"/>
    </xf>
    <xf numFmtId="49" fontId="0" fillId="0" borderId="0" xfId="0" applyNumberFormat="1" applyBorder="1" applyAlignment="1">
      <alignment horizontal="left" vertical="center" wrapText="1"/>
    </xf>
    <xf numFmtId="0" fontId="47" fillId="4" borderId="3" xfId="3" applyFont="1" applyFill="1" applyBorder="1" applyAlignment="1">
      <alignment horizontal="center" vertical="center"/>
    </xf>
    <xf numFmtId="0" fontId="53" fillId="0" borderId="0" xfId="0" applyFont="1"/>
    <xf numFmtId="0" fontId="1" fillId="0" borderId="0" xfId="0" applyFont="1"/>
    <xf numFmtId="0" fontId="54" fillId="0" borderId="0" xfId="0" applyFont="1"/>
    <xf numFmtId="0" fontId="14" fillId="0" borderId="4" xfId="0" applyFont="1" applyBorder="1"/>
    <xf numFmtId="0" fontId="54" fillId="0" borderId="4" xfId="0" applyFont="1" applyBorder="1"/>
    <xf numFmtId="0" fontId="55" fillId="0" borderId="1" xfId="1" applyNumberFormat="1" applyFont="1" applyBorder="1">
      <alignment horizontal="right"/>
    </xf>
    <xf numFmtId="0" fontId="14" fillId="0" borderId="2" xfId="0" applyFont="1" applyBorder="1"/>
    <xf numFmtId="0" fontId="14" fillId="0" borderId="0" xfId="0" applyFont="1" applyBorder="1"/>
    <xf numFmtId="0" fontId="54" fillId="0" borderId="7" xfId="0" applyFont="1" applyBorder="1"/>
    <xf numFmtId="0" fontId="14" fillId="0" borderId="7" xfId="0" applyFont="1" applyBorder="1" applyAlignment="1">
      <alignment vertical="center"/>
    </xf>
    <xf numFmtId="0" fontId="14" fillId="0" borderId="0" xfId="0" applyFont="1" applyAlignment="1">
      <alignment vertical="center"/>
    </xf>
    <xf numFmtId="0" fontId="13" fillId="0" borderId="0" xfId="0" applyFont="1" applyBorder="1" applyAlignment="1">
      <alignment horizontal="left"/>
    </xf>
    <xf numFmtId="0" fontId="14" fillId="0" borderId="0" xfId="0" applyFont="1" applyBorder="1" applyAlignment="1">
      <alignment horizontal="left"/>
    </xf>
    <xf numFmtId="0" fontId="14" fillId="0" borderId="7" xfId="0" applyFont="1" applyBorder="1" applyAlignment="1">
      <alignment horizontal="left"/>
    </xf>
    <xf numFmtId="0" fontId="54" fillId="0" borderId="0" xfId="0" applyFont="1" applyBorder="1" applyAlignment="1">
      <alignment horizontal="left"/>
    </xf>
    <xf numFmtId="0" fontId="14" fillId="0" borderId="14" xfId="0" applyFont="1" applyBorder="1" applyAlignment="1">
      <alignment horizontal="right"/>
    </xf>
    <xf numFmtId="0" fontId="14" fillId="0" borderId="15" xfId="0" applyFont="1" applyBorder="1" applyAlignment="1">
      <alignment horizontal="right"/>
    </xf>
    <xf numFmtId="0" fontId="14" fillId="0" borderId="16" xfId="0" applyFont="1" applyBorder="1" applyAlignment="1">
      <alignment horizontal="right"/>
    </xf>
    <xf numFmtId="0" fontId="54" fillId="0" borderId="15" xfId="0" applyFont="1" applyBorder="1" applyAlignment="1">
      <alignment horizontal="right"/>
    </xf>
    <xf numFmtId="0" fontId="54" fillId="0" borderId="0" xfId="0" applyFont="1" applyBorder="1"/>
    <xf numFmtId="0" fontId="14" fillId="0" borderId="15" xfId="0" applyFont="1" applyBorder="1"/>
    <xf numFmtId="0" fontId="54" fillId="0" borderId="15" xfId="0" applyFont="1" applyBorder="1"/>
    <xf numFmtId="0" fontId="14" fillId="0" borderId="14" xfId="0" applyFont="1" applyBorder="1"/>
    <xf numFmtId="0" fontId="14" fillId="0" borderId="16" xfId="0" applyFont="1" applyBorder="1"/>
    <xf numFmtId="0" fontId="54" fillId="0" borderId="16" xfId="0" applyFont="1" applyBorder="1"/>
    <xf numFmtId="0" fontId="1" fillId="0" borderId="0" xfId="0" applyFont="1" applyBorder="1" applyAlignment="1">
      <alignment horizontal="left" vertical="top"/>
    </xf>
    <xf numFmtId="0" fontId="8" fillId="6" borderId="4" xfId="7" applyFill="1" applyBorder="1">
      <alignment horizontal="center"/>
    </xf>
    <xf numFmtId="0" fontId="8" fillId="6" borderId="3" xfId="7" applyFill="1" applyBorder="1">
      <alignment horizontal="center"/>
    </xf>
    <xf numFmtId="0" fontId="8" fillId="3" borderId="4" xfId="7" applyFill="1" applyBorder="1" applyAlignment="1">
      <alignment horizontal="center"/>
    </xf>
    <xf numFmtId="0" fontId="8" fillId="3" borderId="3" xfId="7" applyFill="1" applyBorder="1" applyAlignment="1">
      <alignment horizontal="center"/>
    </xf>
    <xf numFmtId="0" fontId="39" fillId="0" borderId="7" xfId="8" applyFont="1" applyBorder="1" applyAlignment="1">
      <alignment horizontal="center" vertical="center"/>
    </xf>
    <xf numFmtId="0" fontId="37" fillId="0" borderId="0" xfId="8" applyFont="1" applyBorder="1" applyAlignment="1">
      <alignment horizontal="center"/>
    </xf>
    <xf numFmtId="0" fontId="39" fillId="0" borderId="0" xfId="8" applyFont="1" applyBorder="1" applyAlignment="1">
      <alignment horizontal="center" vertical="center"/>
    </xf>
    <xf numFmtId="0" fontId="36" fillId="4" borderId="10" xfId="8" applyFont="1" applyFill="1" applyBorder="1" applyAlignment="1">
      <alignment horizontal="center" vertical="center" wrapText="1"/>
    </xf>
    <xf numFmtId="0" fontId="36" fillId="4" borderId="1" xfId="8" applyFont="1" applyFill="1" applyBorder="1" applyAlignment="1">
      <alignment horizontal="center" vertical="center" wrapText="1"/>
    </xf>
    <xf numFmtId="0" fontId="36" fillId="4" borderId="0" xfId="8" applyFont="1" applyFill="1" applyBorder="1" applyAlignment="1">
      <alignment horizontal="center" vertical="center" wrapText="1"/>
    </xf>
    <xf numFmtId="0" fontId="36" fillId="4" borderId="3" xfId="8" applyFont="1" applyFill="1" applyBorder="1" applyAlignment="1">
      <alignment horizontal="center" vertical="center" wrapText="1"/>
    </xf>
    <xf numFmtId="0" fontId="36" fillId="4" borderId="7" xfId="8" applyFont="1" applyFill="1" applyBorder="1" applyAlignment="1">
      <alignment horizontal="center" vertical="center" wrapText="1"/>
    </xf>
    <xf numFmtId="0" fontId="36" fillId="4" borderId="6" xfId="8" applyFont="1" applyFill="1" applyBorder="1" applyAlignment="1">
      <alignment horizontal="center" vertical="center" wrapText="1"/>
    </xf>
    <xf numFmtId="0" fontId="8" fillId="4" borderId="4" xfId="7" applyFill="1" applyBorder="1">
      <alignment horizontal="center"/>
    </xf>
    <xf numFmtId="0" fontId="8" fillId="4" borderId="3" xfId="7" applyFill="1" applyBorder="1">
      <alignment horizontal="center"/>
    </xf>
    <xf numFmtId="0" fontId="8" fillId="0" borderId="4" xfId="7" applyBorder="1" applyAlignment="1">
      <alignment horizontal="center"/>
    </xf>
    <xf numFmtId="0" fontId="8" fillId="0" borderId="3" xfId="7" applyBorder="1" applyAlignment="1">
      <alignment horizontal="center"/>
    </xf>
    <xf numFmtId="0" fontId="39" fillId="0" borderId="9" xfId="8" applyFont="1" applyBorder="1" applyAlignment="1">
      <alignment horizontal="center" vertical="center"/>
    </xf>
    <xf numFmtId="0" fontId="34" fillId="0" borderId="0" xfId="0" applyFont="1" applyBorder="1" applyAlignment="1">
      <alignment horizontal="left" vertical="center"/>
    </xf>
    <xf numFmtId="0" fontId="0" fillId="0" borderId="0" xfId="0" applyBorder="1" applyAlignment="1">
      <alignment horizontal="left"/>
    </xf>
    <xf numFmtId="0" fontId="6" fillId="0" borderId="8" xfId="8" applyFont="1" applyBorder="1" applyAlignment="1">
      <alignment horizontal="center" vertical="center" wrapText="1"/>
    </xf>
    <xf numFmtId="0" fontId="0" fillId="0" borderId="8" xfId="0" applyBorder="1" applyAlignment="1">
      <alignment horizontal="center" vertical="center" wrapText="1"/>
    </xf>
    <xf numFmtId="0" fontId="6" fillId="0" borderId="5" xfId="8" applyFont="1" applyBorder="1" applyAlignment="1">
      <alignment horizontal="left" vertical="center" wrapText="1" indent="2"/>
    </xf>
    <xf numFmtId="0" fontId="0" fillId="0" borderId="10" xfId="0" applyBorder="1"/>
    <xf numFmtId="0" fontId="0" fillId="0" borderId="4" xfId="0" applyBorder="1"/>
    <xf numFmtId="0" fontId="0" fillId="0" borderId="0" xfId="0" applyBorder="1"/>
    <xf numFmtId="0" fontId="0" fillId="0" borderId="2" xfId="0" applyBorder="1"/>
    <xf numFmtId="0" fontId="0" fillId="0" borderId="7" xfId="0" applyBorder="1"/>
    <xf numFmtId="0" fontId="6" fillId="3" borderId="8" xfId="8" applyFont="1" applyFill="1" applyBorder="1" applyAlignment="1">
      <alignment horizontal="center" vertical="center" wrapText="1"/>
    </xf>
    <xf numFmtId="0" fontId="0" fillId="7" borderId="8" xfId="0" applyFill="1" applyBorder="1" applyAlignment="1">
      <alignment horizontal="center" vertical="center" wrapText="1"/>
    </xf>
    <xf numFmtId="0" fontId="6" fillId="3" borderId="0" xfId="8" applyFont="1" applyFill="1" applyBorder="1" applyAlignment="1">
      <alignment horizontal="center" vertical="center" wrapText="1"/>
    </xf>
    <xf numFmtId="0" fontId="0" fillId="7" borderId="0" xfId="0" applyFill="1" applyBorder="1" applyAlignment="1">
      <alignment horizontal="center" vertical="center" wrapText="1"/>
    </xf>
    <xf numFmtId="0" fontId="0" fillId="7" borderId="7" xfId="0" applyFill="1" applyBorder="1" applyAlignment="1">
      <alignment horizontal="center" vertical="center" wrapText="1"/>
    </xf>
    <xf numFmtId="0" fontId="19" fillId="0" borderId="0" xfId="8" applyFont="1" applyBorder="1" applyAlignment="1">
      <alignment horizontal="left" vertical="center"/>
    </xf>
    <xf numFmtId="0" fontId="0" fillId="0" borderId="0" xfId="0" applyAlignment="1">
      <alignment vertical="center"/>
    </xf>
    <xf numFmtId="0" fontId="6" fillId="4" borderId="8" xfId="8" applyFont="1" applyFill="1" applyBorder="1" applyAlignment="1">
      <alignment horizontal="center" vertical="center" wrapText="1"/>
    </xf>
    <xf numFmtId="0" fontId="0" fillId="4" borderId="8" xfId="0" applyFill="1" applyBorder="1" applyAlignment="1">
      <alignment horizontal="center" vertical="center" wrapText="1"/>
    </xf>
    <xf numFmtId="0" fontId="0" fillId="0" borderId="4" xfId="0" applyBorder="1" applyAlignment="1">
      <alignment horizontal="left" vertical="center" wrapText="1"/>
    </xf>
    <xf numFmtId="0" fontId="0" fillId="0" borderId="0" xfId="0" applyBorder="1" applyAlignment="1"/>
    <xf numFmtId="0" fontId="0" fillId="0" borderId="3" xfId="0" applyBorder="1" applyAlignment="1"/>
    <xf numFmtId="0" fontId="8" fillId="0" borderId="0" xfId="6" applyFont="1" applyBorder="1" applyAlignment="1">
      <alignment horizontal="right" vertical="center" wrapText="1"/>
    </xf>
    <xf numFmtId="0" fontId="8" fillId="0" borderId="0" xfId="7" applyFill="1" applyBorder="1">
      <alignment horizontal="center"/>
    </xf>
    <xf numFmtId="0" fontId="25" fillId="0" borderId="4" xfId="7" applyFont="1" applyBorder="1" applyAlignment="1">
      <alignment horizontal="center"/>
    </xf>
    <xf numFmtId="0" fontId="25" fillId="0" borderId="3" xfId="7" applyFont="1" applyBorder="1" applyAlignment="1">
      <alignment horizontal="center"/>
    </xf>
    <xf numFmtId="0" fontId="24" fillId="0" borderId="4" xfId="12" applyFont="1" applyBorder="1" applyAlignment="1">
      <alignment horizontal="center" vertical="center"/>
    </xf>
    <xf numFmtId="0" fontId="24" fillId="0" borderId="3" xfId="12" applyFont="1" applyAlignment="1">
      <alignment horizontal="center" vertical="center"/>
    </xf>
    <xf numFmtId="0" fontId="40" fillId="0" borderId="0" xfId="0" applyFont="1" applyBorder="1" applyAlignment="1">
      <alignment horizontal="center"/>
    </xf>
    <xf numFmtId="0" fontId="38" fillId="0" borderId="7" xfId="0" applyFont="1" applyBorder="1" applyAlignment="1">
      <alignment horizontal="center"/>
    </xf>
    <xf numFmtId="0" fontId="13" fillId="8" borderId="7" xfId="0" applyFont="1" applyFill="1" applyBorder="1" applyAlignment="1">
      <alignment horizontal="center" vertical="center"/>
    </xf>
    <xf numFmtId="0" fontId="0" fillId="8" borderId="7" xfId="0" applyFill="1" applyBorder="1" applyAlignment="1">
      <alignment horizontal="center" vertical="center"/>
    </xf>
    <xf numFmtId="0" fontId="9" fillId="0" borderId="9" xfId="0" applyFont="1" applyBorder="1" applyAlignment="1">
      <alignment horizontal="center" vertical="center"/>
    </xf>
    <xf numFmtId="0" fontId="0" fillId="0" borderId="9" xfId="0" applyBorder="1" applyAlignment="1">
      <alignment horizontal="center" vertical="center"/>
    </xf>
  </cellXfs>
  <cellStyles count="13">
    <cellStyle name="Atommasse" xfId="1"/>
    <cellStyle name="Atomradius" xfId="2"/>
    <cellStyle name="biatomar" xfId="3"/>
    <cellStyle name="Dichte" xfId="4"/>
    <cellStyle name="EN" xfId="5"/>
    <cellStyle name="Legende" xfId="6"/>
    <cellStyle name="Name" xfId="7"/>
    <cellStyle name="Ordnungszahl" xfId="8"/>
    <cellStyle name="Periode" xfId="9"/>
    <cellStyle name="Schmelzpunkt" xfId="10"/>
    <cellStyle name="Siedepunkt" xfId="11"/>
    <cellStyle name="Standard" xfId="0" builtinId="0"/>
    <cellStyle name="Symbol" xfId="1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16</xdr:col>
      <xdr:colOff>7620</xdr:colOff>
      <xdr:row>15</xdr:row>
      <xdr:rowOff>198120</xdr:rowOff>
    </xdr:from>
    <xdr:to>
      <xdr:col>21</xdr:col>
      <xdr:colOff>556260</xdr:colOff>
      <xdr:row>16</xdr:row>
      <xdr:rowOff>121920</xdr:rowOff>
    </xdr:to>
    <xdr:sp macro="" textlink="">
      <xdr:nvSpPr>
        <xdr:cNvPr id="1070" name="AutoShape 46"/>
        <xdr:cNvSpPr>
          <a:spLocks/>
        </xdr:cNvSpPr>
      </xdr:nvSpPr>
      <xdr:spPr bwMode="auto">
        <a:xfrm rot="16200000">
          <a:off x="8244840" y="2491740"/>
          <a:ext cx="129540" cy="2613660"/>
        </a:xfrm>
        <a:prstGeom prst="rightBrace">
          <a:avLst>
            <a:gd name="adj1" fmla="val 168137"/>
            <a:gd name="adj2" fmla="val 50000"/>
          </a:avLst>
        </a:prstGeom>
        <a:noFill/>
        <a:ln w="9525">
          <a:solidFill>
            <a:srgbClr val="993366"/>
          </a:solidFill>
          <a:round/>
          <a:headEnd/>
          <a:tailEnd/>
        </a:ln>
      </xdr:spPr>
    </xdr:sp>
    <xdr:clientData/>
  </xdr:twoCellAnchor>
  <xdr:twoCellAnchor>
    <xdr:from>
      <xdr:col>15</xdr:col>
      <xdr:colOff>106680</xdr:colOff>
      <xdr:row>22</xdr:row>
      <xdr:rowOff>15240</xdr:rowOff>
    </xdr:from>
    <xdr:to>
      <xdr:col>15</xdr:col>
      <xdr:colOff>297180</xdr:colOff>
      <xdr:row>23</xdr:row>
      <xdr:rowOff>0</xdr:rowOff>
    </xdr:to>
    <xdr:grpSp>
      <xdr:nvGrpSpPr>
        <xdr:cNvPr id="1082" name="Group 58"/>
        <xdr:cNvGrpSpPr>
          <a:grpSpLocks/>
        </xdr:cNvGrpSpPr>
      </xdr:nvGrpSpPr>
      <xdr:grpSpPr bwMode="auto">
        <a:xfrm>
          <a:off x="6537960" y="5006340"/>
          <a:ext cx="190500" cy="213360"/>
          <a:chOff x="1473" y="730"/>
          <a:chExt cx="18" cy="18"/>
        </a:xfrm>
      </xdr:grpSpPr>
      <xdr:sp macro="" textlink="">
        <xdr:nvSpPr>
          <xdr:cNvPr id="1083" name="Oval 59"/>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084" name="Picture 60"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17</xdr:col>
      <xdr:colOff>457200</xdr:colOff>
      <xdr:row>9</xdr:row>
      <xdr:rowOff>106680</xdr:rowOff>
    </xdr:from>
    <xdr:to>
      <xdr:col>18</xdr:col>
      <xdr:colOff>144780</xdr:colOff>
      <xdr:row>10</xdr:row>
      <xdr:rowOff>175260</xdr:rowOff>
    </xdr:to>
    <xdr:grpSp>
      <xdr:nvGrpSpPr>
        <xdr:cNvPr id="1190" name="Group 166"/>
        <xdr:cNvGrpSpPr>
          <a:grpSpLocks/>
        </xdr:cNvGrpSpPr>
      </xdr:nvGrpSpPr>
      <xdr:grpSpPr bwMode="auto">
        <a:xfrm>
          <a:off x="7764780" y="2339340"/>
          <a:ext cx="251460" cy="259080"/>
          <a:chOff x="1473" y="730"/>
          <a:chExt cx="18" cy="18"/>
        </a:xfrm>
      </xdr:grpSpPr>
      <xdr:sp macro="" textlink="">
        <xdr:nvSpPr>
          <xdr:cNvPr id="1191" name="Oval 167"/>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192" name="Picture 168"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0</xdr:col>
      <xdr:colOff>152400</xdr:colOff>
      <xdr:row>0</xdr:row>
      <xdr:rowOff>144780</xdr:rowOff>
    </xdr:from>
    <xdr:to>
      <xdr:col>1</xdr:col>
      <xdr:colOff>0</xdr:colOff>
      <xdr:row>0</xdr:row>
      <xdr:rowOff>274320</xdr:rowOff>
    </xdr:to>
    <xdr:sp macro="" textlink="" fLocksText="0">
      <xdr:nvSpPr>
        <xdr:cNvPr id="1194" name="AutoShape 170"/>
        <xdr:cNvSpPr>
          <a:spLocks noChangeArrowheads="1"/>
        </xdr:cNvSpPr>
      </xdr:nvSpPr>
      <xdr:spPr bwMode="auto">
        <a:xfrm rot="10800000">
          <a:off x="152400" y="144780"/>
          <a:ext cx="144780" cy="129540"/>
        </a:xfrm>
        <a:custGeom>
          <a:avLst/>
          <a:gdLst>
            <a:gd name="G0" fmla="+- 9257 0 0"/>
            <a:gd name="G1" fmla="+- 18514 0 0"/>
            <a:gd name="G2" fmla="+- 7200 0 0"/>
            <a:gd name="G3" fmla="*/ 9257 1 2"/>
            <a:gd name="G4" fmla="+- G3 10800 0"/>
            <a:gd name="G5" fmla="+- 21600 9257 18514"/>
            <a:gd name="G6" fmla="+- 18514 7200 0"/>
            <a:gd name="G7" fmla="*/ G6 1 2"/>
            <a:gd name="G8" fmla="*/ 18514 2 1"/>
            <a:gd name="G9" fmla="+- G8 0 21600"/>
            <a:gd name="G10" fmla="*/ 21600 G0 G1"/>
            <a:gd name="G11" fmla="*/ 21600 G4 G1"/>
            <a:gd name="G12" fmla="*/ 21600 G5 G1"/>
            <a:gd name="G13" fmla="*/ 21600 G7 G1"/>
            <a:gd name="G14" fmla="*/ 18514 1 2"/>
            <a:gd name="G15" fmla="+- G5 0 G4"/>
            <a:gd name="G16" fmla="+- G0 0 G4"/>
            <a:gd name="G17" fmla="*/ G2 G15 G16"/>
            <a:gd name="T0" fmla="*/ 15429 w 21600"/>
            <a:gd name="T1" fmla="*/ 0 h 21600"/>
            <a:gd name="T2" fmla="*/ 9257 w 21600"/>
            <a:gd name="T3" fmla="*/ 7200 h 21600"/>
            <a:gd name="T4" fmla="*/ 0 w 21600"/>
            <a:gd name="T5" fmla="*/ 18001 h 21600"/>
            <a:gd name="T6" fmla="*/ 9257 w 21600"/>
            <a:gd name="T7" fmla="*/ 21600 h 21600"/>
            <a:gd name="T8" fmla="*/ 18514 w 21600"/>
            <a:gd name="T9" fmla="*/ 15000 h 21600"/>
            <a:gd name="T10" fmla="*/ 21600 w 21600"/>
            <a:gd name="T11" fmla="*/ 7200 h 21600"/>
            <a:gd name="T12" fmla="*/ 17694720 60000 65536"/>
            <a:gd name="T13" fmla="*/ 11796480 60000 65536"/>
            <a:gd name="T14" fmla="*/ 11796480 60000 65536"/>
            <a:gd name="T15" fmla="*/ 5898240 60000 65536"/>
            <a:gd name="T16" fmla="*/ 0 60000 65536"/>
            <a:gd name="T17" fmla="*/ 0 60000 65536"/>
            <a:gd name="T18" fmla="*/ 0 w 21600"/>
            <a:gd name="T19" fmla="*/ G12 h 21600"/>
            <a:gd name="T20" fmla="*/ G1 w 21600"/>
            <a:gd name="T21" fmla="*/ 21600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5429" y="0"/>
              </a:moveTo>
              <a:lnTo>
                <a:pt x="9257" y="7200"/>
              </a:lnTo>
              <a:lnTo>
                <a:pt x="12343" y="7200"/>
              </a:lnTo>
              <a:lnTo>
                <a:pt x="12343" y="14400"/>
              </a:lnTo>
              <a:lnTo>
                <a:pt x="0" y="14400"/>
              </a:lnTo>
              <a:lnTo>
                <a:pt x="0" y="21600"/>
              </a:lnTo>
              <a:lnTo>
                <a:pt x="18514" y="21600"/>
              </a:lnTo>
              <a:lnTo>
                <a:pt x="18514" y="7200"/>
              </a:lnTo>
              <a:lnTo>
                <a:pt x="21600" y="7200"/>
              </a:lnTo>
              <a:close/>
            </a:path>
          </a:pathLst>
        </a:custGeom>
        <a:solidFill>
          <a:srgbClr val="FF0000"/>
        </a:solidFill>
        <a:ln w="9525">
          <a:noFill/>
          <a:miter lim="800000"/>
          <a:headEnd/>
          <a:tailEnd/>
        </a:ln>
      </xdr:spPr>
    </xdr:sp>
    <xdr:clientData fLocksWithSheet="0"/>
  </xdr:twoCellAnchor>
  <xdr:twoCellAnchor>
    <xdr:from>
      <xdr:col>33</xdr:col>
      <xdr:colOff>106680</xdr:colOff>
      <xdr:row>27</xdr:row>
      <xdr:rowOff>15240</xdr:rowOff>
    </xdr:from>
    <xdr:to>
      <xdr:col>33</xdr:col>
      <xdr:colOff>297180</xdr:colOff>
      <xdr:row>28</xdr:row>
      <xdr:rowOff>0</xdr:rowOff>
    </xdr:to>
    <xdr:grpSp>
      <xdr:nvGrpSpPr>
        <xdr:cNvPr id="1255" name="Group 231"/>
        <xdr:cNvGrpSpPr>
          <a:grpSpLocks/>
        </xdr:cNvGrpSpPr>
      </xdr:nvGrpSpPr>
      <xdr:grpSpPr bwMode="auto">
        <a:xfrm>
          <a:off x="14424660" y="6111240"/>
          <a:ext cx="190500" cy="213360"/>
          <a:chOff x="1473" y="730"/>
          <a:chExt cx="18" cy="18"/>
        </a:xfrm>
      </xdr:grpSpPr>
      <xdr:sp macro="" textlink="">
        <xdr:nvSpPr>
          <xdr:cNvPr id="1256" name="Oval 232"/>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57" name="Picture 233"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35</xdr:col>
      <xdr:colOff>106680</xdr:colOff>
      <xdr:row>27</xdr:row>
      <xdr:rowOff>15240</xdr:rowOff>
    </xdr:from>
    <xdr:to>
      <xdr:col>35</xdr:col>
      <xdr:colOff>297180</xdr:colOff>
      <xdr:row>28</xdr:row>
      <xdr:rowOff>0</xdr:rowOff>
    </xdr:to>
    <xdr:grpSp>
      <xdr:nvGrpSpPr>
        <xdr:cNvPr id="1258" name="Group 234"/>
        <xdr:cNvGrpSpPr>
          <a:grpSpLocks/>
        </xdr:cNvGrpSpPr>
      </xdr:nvGrpSpPr>
      <xdr:grpSpPr bwMode="auto">
        <a:xfrm>
          <a:off x="15300960" y="6111240"/>
          <a:ext cx="190500" cy="213360"/>
          <a:chOff x="1473" y="730"/>
          <a:chExt cx="18" cy="18"/>
        </a:xfrm>
      </xdr:grpSpPr>
      <xdr:sp macro="" textlink="">
        <xdr:nvSpPr>
          <xdr:cNvPr id="1259" name="Oval 235"/>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60" name="Picture 236"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37</xdr:col>
      <xdr:colOff>106680</xdr:colOff>
      <xdr:row>27</xdr:row>
      <xdr:rowOff>15240</xdr:rowOff>
    </xdr:from>
    <xdr:to>
      <xdr:col>37</xdr:col>
      <xdr:colOff>297180</xdr:colOff>
      <xdr:row>28</xdr:row>
      <xdr:rowOff>0</xdr:rowOff>
    </xdr:to>
    <xdr:grpSp>
      <xdr:nvGrpSpPr>
        <xdr:cNvPr id="1261" name="Group 237"/>
        <xdr:cNvGrpSpPr>
          <a:grpSpLocks/>
        </xdr:cNvGrpSpPr>
      </xdr:nvGrpSpPr>
      <xdr:grpSpPr bwMode="auto">
        <a:xfrm>
          <a:off x="16177260" y="6111240"/>
          <a:ext cx="190500" cy="213360"/>
          <a:chOff x="1473" y="730"/>
          <a:chExt cx="18" cy="18"/>
        </a:xfrm>
      </xdr:grpSpPr>
      <xdr:sp macro="" textlink="">
        <xdr:nvSpPr>
          <xdr:cNvPr id="1262" name="Oval 238"/>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63" name="Picture 239"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37</xdr:col>
      <xdr:colOff>106680</xdr:colOff>
      <xdr:row>32</xdr:row>
      <xdr:rowOff>15240</xdr:rowOff>
    </xdr:from>
    <xdr:to>
      <xdr:col>37</xdr:col>
      <xdr:colOff>297180</xdr:colOff>
      <xdr:row>33</xdr:row>
      <xdr:rowOff>0</xdr:rowOff>
    </xdr:to>
    <xdr:grpSp>
      <xdr:nvGrpSpPr>
        <xdr:cNvPr id="1264" name="Group 240"/>
        <xdr:cNvGrpSpPr>
          <a:grpSpLocks/>
        </xdr:cNvGrpSpPr>
      </xdr:nvGrpSpPr>
      <xdr:grpSpPr bwMode="auto">
        <a:xfrm>
          <a:off x="16177260" y="7216140"/>
          <a:ext cx="190500" cy="213360"/>
          <a:chOff x="1473" y="730"/>
          <a:chExt cx="18" cy="18"/>
        </a:xfrm>
      </xdr:grpSpPr>
      <xdr:sp macro="" textlink="">
        <xdr:nvSpPr>
          <xdr:cNvPr id="1265" name="Oval 241"/>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66" name="Picture 242"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35</xdr:col>
      <xdr:colOff>106680</xdr:colOff>
      <xdr:row>32</xdr:row>
      <xdr:rowOff>15240</xdr:rowOff>
    </xdr:from>
    <xdr:to>
      <xdr:col>35</xdr:col>
      <xdr:colOff>297180</xdr:colOff>
      <xdr:row>33</xdr:row>
      <xdr:rowOff>0</xdr:rowOff>
    </xdr:to>
    <xdr:grpSp>
      <xdr:nvGrpSpPr>
        <xdr:cNvPr id="1267" name="Group 243"/>
        <xdr:cNvGrpSpPr>
          <a:grpSpLocks/>
        </xdr:cNvGrpSpPr>
      </xdr:nvGrpSpPr>
      <xdr:grpSpPr bwMode="auto">
        <a:xfrm>
          <a:off x="15300960" y="7216140"/>
          <a:ext cx="190500" cy="213360"/>
          <a:chOff x="1473" y="730"/>
          <a:chExt cx="18" cy="18"/>
        </a:xfrm>
      </xdr:grpSpPr>
      <xdr:sp macro="" textlink="">
        <xdr:nvSpPr>
          <xdr:cNvPr id="1268" name="Oval 244"/>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69" name="Picture 245"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33</xdr:col>
      <xdr:colOff>106680</xdr:colOff>
      <xdr:row>32</xdr:row>
      <xdr:rowOff>15240</xdr:rowOff>
    </xdr:from>
    <xdr:to>
      <xdr:col>33</xdr:col>
      <xdr:colOff>297180</xdr:colOff>
      <xdr:row>33</xdr:row>
      <xdr:rowOff>0</xdr:rowOff>
    </xdr:to>
    <xdr:grpSp>
      <xdr:nvGrpSpPr>
        <xdr:cNvPr id="1270" name="Group 246"/>
        <xdr:cNvGrpSpPr>
          <a:grpSpLocks/>
        </xdr:cNvGrpSpPr>
      </xdr:nvGrpSpPr>
      <xdr:grpSpPr bwMode="auto">
        <a:xfrm>
          <a:off x="14424660" y="7216140"/>
          <a:ext cx="190500" cy="213360"/>
          <a:chOff x="1473" y="730"/>
          <a:chExt cx="18" cy="18"/>
        </a:xfrm>
      </xdr:grpSpPr>
      <xdr:sp macro="" textlink="">
        <xdr:nvSpPr>
          <xdr:cNvPr id="1271" name="Oval 247"/>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72" name="Picture 248"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31</xdr:col>
      <xdr:colOff>106680</xdr:colOff>
      <xdr:row>32</xdr:row>
      <xdr:rowOff>15240</xdr:rowOff>
    </xdr:from>
    <xdr:to>
      <xdr:col>31</xdr:col>
      <xdr:colOff>297180</xdr:colOff>
      <xdr:row>33</xdr:row>
      <xdr:rowOff>0</xdr:rowOff>
    </xdr:to>
    <xdr:grpSp>
      <xdr:nvGrpSpPr>
        <xdr:cNvPr id="1273" name="Group 249"/>
        <xdr:cNvGrpSpPr>
          <a:grpSpLocks/>
        </xdr:cNvGrpSpPr>
      </xdr:nvGrpSpPr>
      <xdr:grpSpPr bwMode="auto">
        <a:xfrm>
          <a:off x="13548360" y="7216140"/>
          <a:ext cx="190500" cy="213360"/>
          <a:chOff x="1473" y="730"/>
          <a:chExt cx="18" cy="18"/>
        </a:xfrm>
      </xdr:grpSpPr>
      <xdr:sp macro="" textlink="">
        <xdr:nvSpPr>
          <xdr:cNvPr id="1274" name="Oval 250"/>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75" name="Picture 251"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29</xdr:col>
      <xdr:colOff>106680</xdr:colOff>
      <xdr:row>32</xdr:row>
      <xdr:rowOff>15240</xdr:rowOff>
    </xdr:from>
    <xdr:to>
      <xdr:col>29</xdr:col>
      <xdr:colOff>297180</xdr:colOff>
      <xdr:row>33</xdr:row>
      <xdr:rowOff>0</xdr:rowOff>
    </xdr:to>
    <xdr:grpSp>
      <xdr:nvGrpSpPr>
        <xdr:cNvPr id="1276" name="Group 252"/>
        <xdr:cNvGrpSpPr>
          <a:grpSpLocks/>
        </xdr:cNvGrpSpPr>
      </xdr:nvGrpSpPr>
      <xdr:grpSpPr bwMode="auto">
        <a:xfrm>
          <a:off x="12672060" y="7216140"/>
          <a:ext cx="190500" cy="213360"/>
          <a:chOff x="1473" y="730"/>
          <a:chExt cx="18" cy="18"/>
        </a:xfrm>
      </xdr:grpSpPr>
      <xdr:sp macro="" textlink="">
        <xdr:nvSpPr>
          <xdr:cNvPr id="1277" name="Oval 253"/>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78" name="Picture 254"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25</xdr:col>
      <xdr:colOff>106680</xdr:colOff>
      <xdr:row>32</xdr:row>
      <xdr:rowOff>15240</xdr:rowOff>
    </xdr:from>
    <xdr:to>
      <xdr:col>25</xdr:col>
      <xdr:colOff>297180</xdr:colOff>
      <xdr:row>33</xdr:row>
      <xdr:rowOff>0</xdr:rowOff>
    </xdr:to>
    <xdr:grpSp>
      <xdr:nvGrpSpPr>
        <xdr:cNvPr id="1279" name="Group 255"/>
        <xdr:cNvGrpSpPr>
          <a:grpSpLocks/>
        </xdr:cNvGrpSpPr>
      </xdr:nvGrpSpPr>
      <xdr:grpSpPr bwMode="auto">
        <a:xfrm>
          <a:off x="10919460" y="7216140"/>
          <a:ext cx="190500" cy="213360"/>
          <a:chOff x="1473" y="730"/>
          <a:chExt cx="18" cy="18"/>
        </a:xfrm>
      </xdr:grpSpPr>
      <xdr:sp macro="" textlink="">
        <xdr:nvSpPr>
          <xdr:cNvPr id="1280" name="Oval 256"/>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81" name="Picture 257"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27</xdr:col>
      <xdr:colOff>106680</xdr:colOff>
      <xdr:row>32</xdr:row>
      <xdr:rowOff>15240</xdr:rowOff>
    </xdr:from>
    <xdr:to>
      <xdr:col>27</xdr:col>
      <xdr:colOff>297180</xdr:colOff>
      <xdr:row>33</xdr:row>
      <xdr:rowOff>0</xdr:rowOff>
    </xdr:to>
    <xdr:grpSp>
      <xdr:nvGrpSpPr>
        <xdr:cNvPr id="1282" name="Group 258"/>
        <xdr:cNvGrpSpPr>
          <a:grpSpLocks/>
        </xdr:cNvGrpSpPr>
      </xdr:nvGrpSpPr>
      <xdr:grpSpPr bwMode="auto">
        <a:xfrm>
          <a:off x="11795760" y="7216140"/>
          <a:ext cx="190500" cy="213360"/>
          <a:chOff x="1473" y="730"/>
          <a:chExt cx="18" cy="18"/>
        </a:xfrm>
      </xdr:grpSpPr>
      <xdr:sp macro="" textlink="">
        <xdr:nvSpPr>
          <xdr:cNvPr id="1283" name="Oval 259"/>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84" name="Picture 260"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23</xdr:col>
      <xdr:colOff>106680</xdr:colOff>
      <xdr:row>32</xdr:row>
      <xdr:rowOff>15240</xdr:rowOff>
    </xdr:from>
    <xdr:to>
      <xdr:col>23</xdr:col>
      <xdr:colOff>297180</xdr:colOff>
      <xdr:row>33</xdr:row>
      <xdr:rowOff>0</xdr:rowOff>
    </xdr:to>
    <xdr:grpSp>
      <xdr:nvGrpSpPr>
        <xdr:cNvPr id="1285" name="Group 261"/>
        <xdr:cNvGrpSpPr>
          <a:grpSpLocks/>
        </xdr:cNvGrpSpPr>
      </xdr:nvGrpSpPr>
      <xdr:grpSpPr bwMode="auto">
        <a:xfrm>
          <a:off x="10043160" y="7216140"/>
          <a:ext cx="190500" cy="213360"/>
          <a:chOff x="1473" y="730"/>
          <a:chExt cx="18" cy="18"/>
        </a:xfrm>
      </xdr:grpSpPr>
      <xdr:sp macro="" textlink="">
        <xdr:nvSpPr>
          <xdr:cNvPr id="1286" name="Oval 262"/>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87" name="Picture 263"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21</xdr:col>
      <xdr:colOff>106680</xdr:colOff>
      <xdr:row>32</xdr:row>
      <xdr:rowOff>15240</xdr:rowOff>
    </xdr:from>
    <xdr:to>
      <xdr:col>21</xdr:col>
      <xdr:colOff>297180</xdr:colOff>
      <xdr:row>33</xdr:row>
      <xdr:rowOff>0</xdr:rowOff>
    </xdr:to>
    <xdr:grpSp>
      <xdr:nvGrpSpPr>
        <xdr:cNvPr id="1288" name="Group 264"/>
        <xdr:cNvGrpSpPr>
          <a:grpSpLocks/>
        </xdr:cNvGrpSpPr>
      </xdr:nvGrpSpPr>
      <xdr:grpSpPr bwMode="auto">
        <a:xfrm>
          <a:off x="9166860" y="7216140"/>
          <a:ext cx="190500" cy="213360"/>
          <a:chOff x="1473" y="730"/>
          <a:chExt cx="18" cy="18"/>
        </a:xfrm>
      </xdr:grpSpPr>
      <xdr:sp macro="" textlink="">
        <xdr:nvSpPr>
          <xdr:cNvPr id="1289" name="Oval 265"/>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90" name="Picture 266"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19</xdr:col>
      <xdr:colOff>106680</xdr:colOff>
      <xdr:row>32</xdr:row>
      <xdr:rowOff>15240</xdr:rowOff>
    </xdr:from>
    <xdr:to>
      <xdr:col>19</xdr:col>
      <xdr:colOff>297180</xdr:colOff>
      <xdr:row>33</xdr:row>
      <xdr:rowOff>0</xdr:rowOff>
    </xdr:to>
    <xdr:grpSp>
      <xdr:nvGrpSpPr>
        <xdr:cNvPr id="1291" name="Group 267"/>
        <xdr:cNvGrpSpPr>
          <a:grpSpLocks/>
        </xdr:cNvGrpSpPr>
      </xdr:nvGrpSpPr>
      <xdr:grpSpPr bwMode="auto">
        <a:xfrm>
          <a:off x="8290560" y="7216140"/>
          <a:ext cx="190500" cy="213360"/>
          <a:chOff x="1473" y="730"/>
          <a:chExt cx="18" cy="18"/>
        </a:xfrm>
      </xdr:grpSpPr>
      <xdr:sp macro="" textlink="">
        <xdr:nvSpPr>
          <xdr:cNvPr id="1292" name="Oval 268"/>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93" name="Picture 269"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17</xdr:col>
      <xdr:colOff>106680</xdr:colOff>
      <xdr:row>32</xdr:row>
      <xdr:rowOff>15240</xdr:rowOff>
    </xdr:from>
    <xdr:to>
      <xdr:col>17</xdr:col>
      <xdr:colOff>297180</xdr:colOff>
      <xdr:row>33</xdr:row>
      <xdr:rowOff>0</xdr:rowOff>
    </xdr:to>
    <xdr:grpSp>
      <xdr:nvGrpSpPr>
        <xdr:cNvPr id="1294" name="Group 270"/>
        <xdr:cNvGrpSpPr>
          <a:grpSpLocks/>
        </xdr:cNvGrpSpPr>
      </xdr:nvGrpSpPr>
      <xdr:grpSpPr bwMode="auto">
        <a:xfrm>
          <a:off x="7414260" y="7216140"/>
          <a:ext cx="190500" cy="213360"/>
          <a:chOff x="1473" y="730"/>
          <a:chExt cx="18" cy="18"/>
        </a:xfrm>
      </xdr:grpSpPr>
      <xdr:sp macro="" textlink="">
        <xdr:nvSpPr>
          <xdr:cNvPr id="1295" name="Oval 271"/>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96" name="Picture 272"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15</xdr:col>
      <xdr:colOff>106680</xdr:colOff>
      <xdr:row>32</xdr:row>
      <xdr:rowOff>15240</xdr:rowOff>
    </xdr:from>
    <xdr:to>
      <xdr:col>15</xdr:col>
      <xdr:colOff>297180</xdr:colOff>
      <xdr:row>33</xdr:row>
      <xdr:rowOff>0</xdr:rowOff>
    </xdr:to>
    <xdr:grpSp>
      <xdr:nvGrpSpPr>
        <xdr:cNvPr id="1297" name="Group 273"/>
        <xdr:cNvGrpSpPr>
          <a:grpSpLocks/>
        </xdr:cNvGrpSpPr>
      </xdr:nvGrpSpPr>
      <xdr:grpSpPr bwMode="auto">
        <a:xfrm>
          <a:off x="6537960" y="7216140"/>
          <a:ext cx="190500" cy="213360"/>
          <a:chOff x="1473" y="730"/>
          <a:chExt cx="18" cy="18"/>
        </a:xfrm>
      </xdr:grpSpPr>
      <xdr:sp macro="" textlink="">
        <xdr:nvSpPr>
          <xdr:cNvPr id="1298" name="Oval 274"/>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99" name="Picture 275"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9</xdr:col>
      <xdr:colOff>106680</xdr:colOff>
      <xdr:row>32</xdr:row>
      <xdr:rowOff>15240</xdr:rowOff>
    </xdr:from>
    <xdr:to>
      <xdr:col>9</xdr:col>
      <xdr:colOff>297180</xdr:colOff>
      <xdr:row>33</xdr:row>
      <xdr:rowOff>0</xdr:rowOff>
    </xdr:to>
    <xdr:grpSp>
      <xdr:nvGrpSpPr>
        <xdr:cNvPr id="1300" name="Group 276"/>
        <xdr:cNvGrpSpPr>
          <a:grpSpLocks/>
        </xdr:cNvGrpSpPr>
      </xdr:nvGrpSpPr>
      <xdr:grpSpPr bwMode="auto">
        <a:xfrm>
          <a:off x="3909060" y="7216140"/>
          <a:ext cx="190500" cy="213360"/>
          <a:chOff x="1473" y="730"/>
          <a:chExt cx="18" cy="18"/>
        </a:xfrm>
      </xdr:grpSpPr>
      <xdr:sp macro="" textlink="">
        <xdr:nvSpPr>
          <xdr:cNvPr id="1301" name="Oval 277"/>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02" name="Picture 278"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11</xdr:col>
      <xdr:colOff>106680</xdr:colOff>
      <xdr:row>32</xdr:row>
      <xdr:rowOff>15240</xdr:rowOff>
    </xdr:from>
    <xdr:to>
      <xdr:col>11</xdr:col>
      <xdr:colOff>297180</xdr:colOff>
      <xdr:row>33</xdr:row>
      <xdr:rowOff>0</xdr:rowOff>
    </xdr:to>
    <xdr:grpSp>
      <xdr:nvGrpSpPr>
        <xdr:cNvPr id="1303" name="Group 279"/>
        <xdr:cNvGrpSpPr>
          <a:grpSpLocks/>
        </xdr:cNvGrpSpPr>
      </xdr:nvGrpSpPr>
      <xdr:grpSpPr bwMode="auto">
        <a:xfrm>
          <a:off x="4785360" y="7216140"/>
          <a:ext cx="190500" cy="213360"/>
          <a:chOff x="1473" y="730"/>
          <a:chExt cx="18" cy="18"/>
        </a:xfrm>
      </xdr:grpSpPr>
      <xdr:sp macro="" textlink="">
        <xdr:nvSpPr>
          <xdr:cNvPr id="1304" name="Oval 280"/>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05" name="Picture 281"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13</xdr:col>
      <xdr:colOff>106680</xdr:colOff>
      <xdr:row>32</xdr:row>
      <xdr:rowOff>15240</xdr:rowOff>
    </xdr:from>
    <xdr:to>
      <xdr:col>13</xdr:col>
      <xdr:colOff>297180</xdr:colOff>
      <xdr:row>33</xdr:row>
      <xdr:rowOff>0</xdr:rowOff>
    </xdr:to>
    <xdr:grpSp>
      <xdr:nvGrpSpPr>
        <xdr:cNvPr id="1306" name="Group 282"/>
        <xdr:cNvGrpSpPr>
          <a:grpSpLocks/>
        </xdr:cNvGrpSpPr>
      </xdr:nvGrpSpPr>
      <xdr:grpSpPr bwMode="auto">
        <a:xfrm>
          <a:off x="5661660" y="7216140"/>
          <a:ext cx="190500" cy="213360"/>
          <a:chOff x="1473" y="730"/>
          <a:chExt cx="18" cy="18"/>
        </a:xfrm>
      </xdr:grpSpPr>
      <xdr:sp macro="" textlink="">
        <xdr:nvSpPr>
          <xdr:cNvPr id="1307" name="Oval 283"/>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08" name="Picture 284"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7</xdr:col>
      <xdr:colOff>106680</xdr:colOff>
      <xdr:row>32</xdr:row>
      <xdr:rowOff>15240</xdr:rowOff>
    </xdr:from>
    <xdr:to>
      <xdr:col>7</xdr:col>
      <xdr:colOff>297180</xdr:colOff>
      <xdr:row>33</xdr:row>
      <xdr:rowOff>0</xdr:rowOff>
    </xdr:to>
    <xdr:grpSp>
      <xdr:nvGrpSpPr>
        <xdr:cNvPr id="1309" name="Group 285"/>
        <xdr:cNvGrpSpPr>
          <a:grpSpLocks/>
        </xdr:cNvGrpSpPr>
      </xdr:nvGrpSpPr>
      <xdr:grpSpPr bwMode="auto">
        <a:xfrm>
          <a:off x="3032760" y="7216140"/>
          <a:ext cx="190500" cy="213360"/>
          <a:chOff x="1473" y="730"/>
          <a:chExt cx="18" cy="18"/>
        </a:xfrm>
      </xdr:grpSpPr>
      <xdr:sp macro="" textlink="">
        <xdr:nvSpPr>
          <xdr:cNvPr id="1310" name="Oval 286"/>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11" name="Picture 287"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4</xdr:col>
      <xdr:colOff>106680</xdr:colOff>
      <xdr:row>32</xdr:row>
      <xdr:rowOff>15240</xdr:rowOff>
    </xdr:from>
    <xdr:to>
      <xdr:col>4</xdr:col>
      <xdr:colOff>297180</xdr:colOff>
      <xdr:row>33</xdr:row>
      <xdr:rowOff>0</xdr:rowOff>
    </xdr:to>
    <xdr:grpSp>
      <xdr:nvGrpSpPr>
        <xdr:cNvPr id="1312" name="Group 288"/>
        <xdr:cNvGrpSpPr>
          <a:grpSpLocks/>
        </xdr:cNvGrpSpPr>
      </xdr:nvGrpSpPr>
      <xdr:grpSpPr bwMode="auto">
        <a:xfrm>
          <a:off x="1592580" y="7216140"/>
          <a:ext cx="190500" cy="213360"/>
          <a:chOff x="1473" y="730"/>
          <a:chExt cx="18" cy="18"/>
        </a:xfrm>
      </xdr:grpSpPr>
      <xdr:sp macro="" textlink="">
        <xdr:nvSpPr>
          <xdr:cNvPr id="1313" name="Oval 289"/>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14" name="Picture 290"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xdr:col>
      <xdr:colOff>106680</xdr:colOff>
      <xdr:row>32</xdr:row>
      <xdr:rowOff>15240</xdr:rowOff>
    </xdr:from>
    <xdr:to>
      <xdr:col>2</xdr:col>
      <xdr:colOff>297180</xdr:colOff>
      <xdr:row>33</xdr:row>
      <xdr:rowOff>0</xdr:rowOff>
    </xdr:to>
    <xdr:grpSp>
      <xdr:nvGrpSpPr>
        <xdr:cNvPr id="1315" name="Group 291"/>
        <xdr:cNvGrpSpPr>
          <a:grpSpLocks/>
        </xdr:cNvGrpSpPr>
      </xdr:nvGrpSpPr>
      <xdr:grpSpPr bwMode="auto">
        <a:xfrm>
          <a:off x="716280" y="7216140"/>
          <a:ext cx="190500" cy="213360"/>
          <a:chOff x="1473" y="730"/>
          <a:chExt cx="18" cy="18"/>
        </a:xfrm>
      </xdr:grpSpPr>
      <xdr:sp macro="" textlink="">
        <xdr:nvSpPr>
          <xdr:cNvPr id="1316" name="Oval 292"/>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17" name="Picture 293"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15</xdr:col>
      <xdr:colOff>106680</xdr:colOff>
      <xdr:row>40</xdr:row>
      <xdr:rowOff>15240</xdr:rowOff>
    </xdr:from>
    <xdr:to>
      <xdr:col>15</xdr:col>
      <xdr:colOff>297180</xdr:colOff>
      <xdr:row>41</xdr:row>
      <xdr:rowOff>0</xdr:rowOff>
    </xdr:to>
    <xdr:grpSp>
      <xdr:nvGrpSpPr>
        <xdr:cNvPr id="1318" name="Group 294"/>
        <xdr:cNvGrpSpPr>
          <a:grpSpLocks/>
        </xdr:cNvGrpSpPr>
      </xdr:nvGrpSpPr>
      <xdr:grpSpPr bwMode="auto">
        <a:xfrm>
          <a:off x="6537960" y="8778240"/>
          <a:ext cx="190500" cy="213360"/>
          <a:chOff x="1473" y="730"/>
          <a:chExt cx="18" cy="18"/>
        </a:xfrm>
      </xdr:grpSpPr>
      <xdr:sp macro="" textlink="">
        <xdr:nvSpPr>
          <xdr:cNvPr id="1319" name="Oval 295"/>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20" name="Picture 296"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7</xdr:col>
      <xdr:colOff>106680</xdr:colOff>
      <xdr:row>45</xdr:row>
      <xdr:rowOff>15240</xdr:rowOff>
    </xdr:from>
    <xdr:to>
      <xdr:col>7</xdr:col>
      <xdr:colOff>297180</xdr:colOff>
      <xdr:row>46</xdr:row>
      <xdr:rowOff>0</xdr:rowOff>
    </xdr:to>
    <xdr:grpSp>
      <xdr:nvGrpSpPr>
        <xdr:cNvPr id="1321" name="Group 297"/>
        <xdr:cNvGrpSpPr>
          <a:grpSpLocks/>
        </xdr:cNvGrpSpPr>
      </xdr:nvGrpSpPr>
      <xdr:grpSpPr bwMode="auto">
        <a:xfrm>
          <a:off x="3032760" y="9829800"/>
          <a:ext cx="190500" cy="213360"/>
          <a:chOff x="1473" y="730"/>
          <a:chExt cx="18" cy="18"/>
        </a:xfrm>
      </xdr:grpSpPr>
      <xdr:sp macro="" textlink="">
        <xdr:nvSpPr>
          <xdr:cNvPr id="1322" name="Oval 298"/>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23" name="Picture 299"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9</xdr:col>
      <xdr:colOff>106680</xdr:colOff>
      <xdr:row>45</xdr:row>
      <xdr:rowOff>15240</xdr:rowOff>
    </xdr:from>
    <xdr:to>
      <xdr:col>9</xdr:col>
      <xdr:colOff>297180</xdr:colOff>
      <xdr:row>46</xdr:row>
      <xdr:rowOff>0</xdr:rowOff>
    </xdr:to>
    <xdr:grpSp>
      <xdr:nvGrpSpPr>
        <xdr:cNvPr id="1324" name="Group 300"/>
        <xdr:cNvGrpSpPr>
          <a:grpSpLocks/>
        </xdr:cNvGrpSpPr>
      </xdr:nvGrpSpPr>
      <xdr:grpSpPr bwMode="auto">
        <a:xfrm>
          <a:off x="3909060" y="9829800"/>
          <a:ext cx="190500" cy="213360"/>
          <a:chOff x="1473" y="730"/>
          <a:chExt cx="18" cy="18"/>
        </a:xfrm>
      </xdr:grpSpPr>
      <xdr:sp macro="" textlink="">
        <xdr:nvSpPr>
          <xdr:cNvPr id="1325" name="Oval 301"/>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26" name="Picture 302"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11</xdr:col>
      <xdr:colOff>106680</xdr:colOff>
      <xdr:row>45</xdr:row>
      <xdr:rowOff>15240</xdr:rowOff>
    </xdr:from>
    <xdr:to>
      <xdr:col>11</xdr:col>
      <xdr:colOff>297180</xdr:colOff>
      <xdr:row>46</xdr:row>
      <xdr:rowOff>0</xdr:rowOff>
    </xdr:to>
    <xdr:grpSp>
      <xdr:nvGrpSpPr>
        <xdr:cNvPr id="1327" name="Group 303"/>
        <xdr:cNvGrpSpPr>
          <a:grpSpLocks/>
        </xdr:cNvGrpSpPr>
      </xdr:nvGrpSpPr>
      <xdr:grpSpPr bwMode="auto">
        <a:xfrm>
          <a:off x="4785360" y="9829800"/>
          <a:ext cx="190500" cy="213360"/>
          <a:chOff x="1473" y="730"/>
          <a:chExt cx="18" cy="18"/>
        </a:xfrm>
      </xdr:grpSpPr>
      <xdr:sp macro="" textlink="">
        <xdr:nvSpPr>
          <xdr:cNvPr id="1328" name="Oval 304"/>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29" name="Picture 305"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13</xdr:col>
      <xdr:colOff>106680</xdr:colOff>
      <xdr:row>45</xdr:row>
      <xdr:rowOff>15240</xdr:rowOff>
    </xdr:from>
    <xdr:to>
      <xdr:col>13</xdr:col>
      <xdr:colOff>297180</xdr:colOff>
      <xdr:row>46</xdr:row>
      <xdr:rowOff>0</xdr:rowOff>
    </xdr:to>
    <xdr:grpSp>
      <xdr:nvGrpSpPr>
        <xdr:cNvPr id="1330" name="Group 306"/>
        <xdr:cNvGrpSpPr>
          <a:grpSpLocks/>
        </xdr:cNvGrpSpPr>
      </xdr:nvGrpSpPr>
      <xdr:grpSpPr bwMode="auto">
        <a:xfrm>
          <a:off x="5661660" y="9829800"/>
          <a:ext cx="190500" cy="213360"/>
          <a:chOff x="1473" y="730"/>
          <a:chExt cx="18" cy="18"/>
        </a:xfrm>
      </xdr:grpSpPr>
      <xdr:sp macro="" textlink="">
        <xdr:nvSpPr>
          <xdr:cNvPr id="1331" name="Oval 307"/>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32" name="Picture 308"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15</xdr:col>
      <xdr:colOff>106680</xdr:colOff>
      <xdr:row>45</xdr:row>
      <xdr:rowOff>15240</xdr:rowOff>
    </xdr:from>
    <xdr:to>
      <xdr:col>15</xdr:col>
      <xdr:colOff>297180</xdr:colOff>
      <xdr:row>46</xdr:row>
      <xdr:rowOff>0</xdr:rowOff>
    </xdr:to>
    <xdr:grpSp>
      <xdr:nvGrpSpPr>
        <xdr:cNvPr id="1333" name="Group 309"/>
        <xdr:cNvGrpSpPr>
          <a:grpSpLocks/>
        </xdr:cNvGrpSpPr>
      </xdr:nvGrpSpPr>
      <xdr:grpSpPr bwMode="auto">
        <a:xfrm>
          <a:off x="6537960" y="9829800"/>
          <a:ext cx="190500" cy="213360"/>
          <a:chOff x="1473" y="730"/>
          <a:chExt cx="18" cy="18"/>
        </a:xfrm>
      </xdr:grpSpPr>
      <xdr:sp macro="" textlink="">
        <xdr:nvSpPr>
          <xdr:cNvPr id="1334" name="Oval 310"/>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35" name="Picture 311"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17</xdr:col>
      <xdr:colOff>106680</xdr:colOff>
      <xdr:row>45</xdr:row>
      <xdr:rowOff>15240</xdr:rowOff>
    </xdr:from>
    <xdr:to>
      <xdr:col>17</xdr:col>
      <xdr:colOff>297180</xdr:colOff>
      <xdr:row>46</xdr:row>
      <xdr:rowOff>0</xdr:rowOff>
    </xdr:to>
    <xdr:grpSp>
      <xdr:nvGrpSpPr>
        <xdr:cNvPr id="1336" name="Group 312"/>
        <xdr:cNvGrpSpPr>
          <a:grpSpLocks/>
        </xdr:cNvGrpSpPr>
      </xdr:nvGrpSpPr>
      <xdr:grpSpPr bwMode="auto">
        <a:xfrm>
          <a:off x="7414260" y="9829800"/>
          <a:ext cx="190500" cy="213360"/>
          <a:chOff x="1473" y="730"/>
          <a:chExt cx="18" cy="18"/>
        </a:xfrm>
      </xdr:grpSpPr>
      <xdr:sp macro="" textlink="">
        <xdr:nvSpPr>
          <xdr:cNvPr id="1337" name="Oval 313"/>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38" name="Picture 314"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19</xdr:col>
      <xdr:colOff>106680</xdr:colOff>
      <xdr:row>45</xdr:row>
      <xdr:rowOff>15240</xdr:rowOff>
    </xdr:from>
    <xdr:to>
      <xdr:col>19</xdr:col>
      <xdr:colOff>297180</xdr:colOff>
      <xdr:row>46</xdr:row>
      <xdr:rowOff>0</xdr:rowOff>
    </xdr:to>
    <xdr:grpSp>
      <xdr:nvGrpSpPr>
        <xdr:cNvPr id="1339" name="Group 315"/>
        <xdr:cNvGrpSpPr>
          <a:grpSpLocks/>
        </xdr:cNvGrpSpPr>
      </xdr:nvGrpSpPr>
      <xdr:grpSpPr bwMode="auto">
        <a:xfrm>
          <a:off x="8290560" y="9829800"/>
          <a:ext cx="190500" cy="213360"/>
          <a:chOff x="1473" y="730"/>
          <a:chExt cx="18" cy="18"/>
        </a:xfrm>
      </xdr:grpSpPr>
      <xdr:sp macro="" textlink="">
        <xdr:nvSpPr>
          <xdr:cNvPr id="1340" name="Oval 316"/>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41" name="Picture 317"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21</xdr:col>
      <xdr:colOff>106680</xdr:colOff>
      <xdr:row>45</xdr:row>
      <xdr:rowOff>15240</xdr:rowOff>
    </xdr:from>
    <xdr:to>
      <xdr:col>21</xdr:col>
      <xdr:colOff>297180</xdr:colOff>
      <xdr:row>46</xdr:row>
      <xdr:rowOff>0</xdr:rowOff>
    </xdr:to>
    <xdr:grpSp>
      <xdr:nvGrpSpPr>
        <xdr:cNvPr id="1342" name="Group 318"/>
        <xdr:cNvGrpSpPr>
          <a:grpSpLocks/>
        </xdr:cNvGrpSpPr>
      </xdr:nvGrpSpPr>
      <xdr:grpSpPr bwMode="auto">
        <a:xfrm>
          <a:off x="9166860" y="9829800"/>
          <a:ext cx="190500" cy="213360"/>
          <a:chOff x="1473" y="730"/>
          <a:chExt cx="18" cy="18"/>
        </a:xfrm>
      </xdr:grpSpPr>
      <xdr:sp macro="" textlink="">
        <xdr:nvSpPr>
          <xdr:cNvPr id="1343" name="Oval 319"/>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44" name="Picture 320"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23</xdr:col>
      <xdr:colOff>106680</xdr:colOff>
      <xdr:row>45</xdr:row>
      <xdr:rowOff>15240</xdr:rowOff>
    </xdr:from>
    <xdr:to>
      <xdr:col>23</xdr:col>
      <xdr:colOff>297180</xdr:colOff>
      <xdr:row>46</xdr:row>
      <xdr:rowOff>0</xdr:rowOff>
    </xdr:to>
    <xdr:grpSp>
      <xdr:nvGrpSpPr>
        <xdr:cNvPr id="1345" name="Group 321"/>
        <xdr:cNvGrpSpPr>
          <a:grpSpLocks/>
        </xdr:cNvGrpSpPr>
      </xdr:nvGrpSpPr>
      <xdr:grpSpPr bwMode="auto">
        <a:xfrm>
          <a:off x="10043160" y="9829800"/>
          <a:ext cx="190500" cy="213360"/>
          <a:chOff x="1473" y="730"/>
          <a:chExt cx="18" cy="18"/>
        </a:xfrm>
      </xdr:grpSpPr>
      <xdr:sp macro="" textlink="">
        <xdr:nvSpPr>
          <xdr:cNvPr id="1346" name="Oval 322"/>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47" name="Picture 323"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25</xdr:col>
      <xdr:colOff>106680</xdr:colOff>
      <xdr:row>45</xdr:row>
      <xdr:rowOff>15240</xdr:rowOff>
    </xdr:from>
    <xdr:to>
      <xdr:col>25</xdr:col>
      <xdr:colOff>297180</xdr:colOff>
      <xdr:row>46</xdr:row>
      <xdr:rowOff>0</xdr:rowOff>
    </xdr:to>
    <xdr:grpSp>
      <xdr:nvGrpSpPr>
        <xdr:cNvPr id="1348" name="Group 324"/>
        <xdr:cNvGrpSpPr>
          <a:grpSpLocks/>
        </xdr:cNvGrpSpPr>
      </xdr:nvGrpSpPr>
      <xdr:grpSpPr bwMode="auto">
        <a:xfrm>
          <a:off x="10919460" y="9829800"/>
          <a:ext cx="190500" cy="213360"/>
          <a:chOff x="1473" y="730"/>
          <a:chExt cx="18" cy="18"/>
        </a:xfrm>
      </xdr:grpSpPr>
      <xdr:sp macro="" textlink="">
        <xdr:nvSpPr>
          <xdr:cNvPr id="1349" name="Oval 325"/>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50" name="Picture 326"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27</xdr:col>
      <xdr:colOff>106680</xdr:colOff>
      <xdr:row>45</xdr:row>
      <xdr:rowOff>15240</xdr:rowOff>
    </xdr:from>
    <xdr:to>
      <xdr:col>27</xdr:col>
      <xdr:colOff>297180</xdr:colOff>
      <xdr:row>46</xdr:row>
      <xdr:rowOff>0</xdr:rowOff>
    </xdr:to>
    <xdr:grpSp>
      <xdr:nvGrpSpPr>
        <xdr:cNvPr id="1351" name="Group 327"/>
        <xdr:cNvGrpSpPr>
          <a:grpSpLocks/>
        </xdr:cNvGrpSpPr>
      </xdr:nvGrpSpPr>
      <xdr:grpSpPr bwMode="auto">
        <a:xfrm>
          <a:off x="11795760" y="9829800"/>
          <a:ext cx="190500" cy="213360"/>
          <a:chOff x="1473" y="730"/>
          <a:chExt cx="18" cy="18"/>
        </a:xfrm>
      </xdr:grpSpPr>
      <xdr:sp macro="" textlink="">
        <xdr:nvSpPr>
          <xdr:cNvPr id="1352" name="Oval 328"/>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53" name="Picture 329"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29</xdr:col>
      <xdr:colOff>106680</xdr:colOff>
      <xdr:row>45</xdr:row>
      <xdr:rowOff>15240</xdr:rowOff>
    </xdr:from>
    <xdr:to>
      <xdr:col>29</xdr:col>
      <xdr:colOff>297180</xdr:colOff>
      <xdr:row>46</xdr:row>
      <xdr:rowOff>0</xdr:rowOff>
    </xdr:to>
    <xdr:grpSp>
      <xdr:nvGrpSpPr>
        <xdr:cNvPr id="1354" name="Group 330"/>
        <xdr:cNvGrpSpPr>
          <a:grpSpLocks/>
        </xdr:cNvGrpSpPr>
      </xdr:nvGrpSpPr>
      <xdr:grpSpPr bwMode="auto">
        <a:xfrm>
          <a:off x="12672060" y="9829800"/>
          <a:ext cx="190500" cy="213360"/>
          <a:chOff x="1473" y="730"/>
          <a:chExt cx="18" cy="18"/>
        </a:xfrm>
      </xdr:grpSpPr>
      <xdr:sp macro="" textlink="">
        <xdr:nvSpPr>
          <xdr:cNvPr id="1355" name="Oval 331"/>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56" name="Picture 332"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31</xdr:col>
      <xdr:colOff>106680</xdr:colOff>
      <xdr:row>45</xdr:row>
      <xdr:rowOff>15240</xdr:rowOff>
    </xdr:from>
    <xdr:to>
      <xdr:col>31</xdr:col>
      <xdr:colOff>297180</xdr:colOff>
      <xdr:row>46</xdr:row>
      <xdr:rowOff>0</xdr:rowOff>
    </xdr:to>
    <xdr:grpSp>
      <xdr:nvGrpSpPr>
        <xdr:cNvPr id="1357" name="Group 333"/>
        <xdr:cNvGrpSpPr>
          <a:grpSpLocks/>
        </xdr:cNvGrpSpPr>
      </xdr:nvGrpSpPr>
      <xdr:grpSpPr bwMode="auto">
        <a:xfrm>
          <a:off x="13548360" y="9829800"/>
          <a:ext cx="190500" cy="213360"/>
          <a:chOff x="1473" y="730"/>
          <a:chExt cx="18" cy="18"/>
        </a:xfrm>
      </xdr:grpSpPr>
      <xdr:sp macro="" textlink="">
        <xdr:nvSpPr>
          <xdr:cNvPr id="1358" name="Oval 334"/>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59" name="Picture 335"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33</xdr:col>
      <xdr:colOff>106680</xdr:colOff>
      <xdr:row>45</xdr:row>
      <xdr:rowOff>15240</xdr:rowOff>
    </xdr:from>
    <xdr:to>
      <xdr:col>33</xdr:col>
      <xdr:colOff>297180</xdr:colOff>
      <xdr:row>46</xdr:row>
      <xdr:rowOff>0</xdr:rowOff>
    </xdr:to>
    <xdr:grpSp>
      <xdr:nvGrpSpPr>
        <xdr:cNvPr id="1360" name="Group 336"/>
        <xdr:cNvGrpSpPr>
          <a:grpSpLocks/>
        </xdr:cNvGrpSpPr>
      </xdr:nvGrpSpPr>
      <xdr:grpSpPr bwMode="auto">
        <a:xfrm>
          <a:off x="14424660" y="9829800"/>
          <a:ext cx="190500" cy="213360"/>
          <a:chOff x="1473" y="730"/>
          <a:chExt cx="18" cy="18"/>
        </a:xfrm>
      </xdr:grpSpPr>
      <xdr:sp macro="" textlink="">
        <xdr:nvSpPr>
          <xdr:cNvPr id="1361" name="Oval 337"/>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62" name="Picture 338"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5</xdr:col>
      <xdr:colOff>99060</xdr:colOff>
      <xdr:row>42</xdr:row>
      <xdr:rowOff>160020</xdr:rowOff>
    </xdr:from>
    <xdr:to>
      <xdr:col>5</xdr:col>
      <xdr:colOff>556260</xdr:colOff>
      <xdr:row>45</xdr:row>
      <xdr:rowOff>152400</xdr:rowOff>
    </xdr:to>
    <xdr:sp macro="" textlink="">
      <xdr:nvSpPr>
        <xdr:cNvPr id="1373" name="AutoShape 349"/>
        <xdr:cNvSpPr>
          <a:spLocks noChangeArrowheads="1"/>
        </xdr:cNvSpPr>
      </xdr:nvSpPr>
      <xdr:spPr bwMode="auto">
        <a:xfrm flipV="1">
          <a:off x="2148840" y="9479280"/>
          <a:ext cx="457200" cy="487680"/>
        </a:xfrm>
        <a:custGeom>
          <a:avLst/>
          <a:gdLst>
            <a:gd name="G0" fmla="+- 15126 0 0"/>
            <a:gd name="G1" fmla="+- 2912 0 0"/>
            <a:gd name="G2" fmla="+- 12158 0 2912"/>
            <a:gd name="G3" fmla="+- G2 0 2912"/>
            <a:gd name="G4" fmla="*/ G3 32768 32059"/>
            <a:gd name="G5" fmla="*/ G4 1 2"/>
            <a:gd name="G6" fmla="+- 21600 0 15126"/>
            <a:gd name="G7" fmla="*/ G6 2912 6079"/>
            <a:gd name="G8" fmla="+- G7 15126 0"/>
            <a:gd name="T0" fmla="*/ 15126 w 21600"/>
            <a:gd name="T1" fmla="*/ 0 h 21600"/>
            <a:gd name="T2" fmla="*/ 15126 w 21600"/>
            <a:gd name="T3" fmla="*/ 12158 h 21600"/>
            <a:gd name="T4" fmla="*/ 3237 w 21600"/>
            <a:gd name="T5" fmla="*/ 21600 h 21600"/>
            <a:gd name="T6" fmla="*/ 21600 w 21600"/>
            <a:gd name="T7" fmla="*/ 6079 h 21600"/>
            <a:gd name="T8" fmla="*/ 17694720 60000 65536"/>
            <a:gd name="T9" fmla="*/ 5898240 60000 65536"/>
            <a:gd name="T10" fmla="*/ 5898240 60000 65536"/>
            <a:gd name="T11" fmla="*/ 0 60000 65536"/>
            <a:gd name="T12" fmla="*/ 12427 w 21600"/>
            <a:gd name="T13" fmla="*/ G1 h 21600"/>
            <a:gd name="T14" fmla="*/ G8 w 21600"/>
            <a:gd name="T15" fmla="*/ G2 h 21600"/>
          </a:gdLst>
          <a:ahLst/>
          <a:cxnLst>
            <a:cxn ang="T8">
              <a:pos x="T0" y="T1"/>
            </a:cxn>
            <a:cxn ang="T9">
              <a:pos x="T2" y="T3"/>
            </a:cxn>
            <a:cxn ang="T10">
              <a:pos x="T4" y="T5"/>
            </a:cxn>
            <a:cxn ang="T11">
              <a:pos x="T6" y="T7"/>
            </a:cxn>
          </a:cxnLst>
          <a:rect l="T12" t="T13" r="T14" b="T15"/>
          <a:pathLst>
            <a:path w="21600" h="21600">
              <a:moveTo>
                <a:pt x="21600" y="6079"/>
              </a:moveTo>
              <a:lnTo>
                <a:pt x="15126" y="0"/>
              </a:lnTo>
              <a:lnTo>
                <a:pt x="15126" y="2912"/>
              </a:lnTo>
              <a:lnTo>
                <a:pt x="12427" y="2912"/>
              </a:lnTo>
              <a:cubicBezTo>
                <a:pt x="5564" y="2912"/>
                <a:pt x="0" y="7052"/>
                <a:pt x="0" y="12158"/>
              </a:cubicBezTo>
              <a:lnTo>
                <a:pt x="0" y="21600"/>
              </a:lnTo>
              <a:lnTo>
                <a:pt x="6474" y="21600"/>
              </a:lnTo>
              <a:lnTo>
                <a:pt x="6474" y="12158"/>
              </a:lnTo>
              <a:cubicBezTo>
                <a:pt x="6474" y="10550"/>
                <a:pt x="9139" y="9246"/>
                <a:pt x="12427" y="9246"/>
              </a:cubicBezTo>
              <a:lnTo>
                <a:pt x="15126" y="9246"/>
              </a:lnTo>
              <a:lnTo>
                <a:pt x="15126" y="12158"/>
              </a:lnTo>
              <a:close/>
            </a:path>
          </a:pathLst>
        </a:custGeom>
        <a:solidFill>
          <a:srgbClr val="C0C0C0"/>
        </a:solidFill>
        <a:ln w="9525">
          <a:noFill/>
          <a:miter lim="800000"/>
          <a:headEnd/>
          <a:tailEnd/>
        </a:ln>
      </xdr:spPr>
    </xdr:sp>
    <xdr:clientData/>
  </xdr:twoCellAnchor>
  <xdr:twoCellAnchor>
    <xdr:from>
      <xdr:col>5</xdr:col>
      <xdr:colOff>167640</xdr:colOff>
      <xdr:row>37</xdr:row>
      <xdr:rowOff>1905</xdr:rowOff>
    </xdr:from>
    <xdr:to>
      <xdr:col>5</xdr:col>
      <xdr:colOff>167640</xdr:colOff>
      <xdr:row>43</xdr:row>
      <xdr:rowOff>1905</xdr:rowOff>
    </xdr:to>
    <xdr:sp macro="" textlink="">
      <xdr:nvSpPr>
        <xdr:cNvPr id="1374" name="Line 350"/>
        <xdr:cNvSpPr>
          <a:spLocks noChangeShapeType="1"/>
        </xdr:cNvSpPr>
      </xdr:nvSpPr>
      <xdr:spPr bwMode="auto">
        <a:xfrm>
          <a:off x="2217420" y="8315325"/>
          <a:ext cx="0" cy="1196340"/>
        </a:xfrm>
        <a:prstGeom prst="line">
          <a:avLst/>
        </a:prstGeom>
        <a:noFill/>
        <a:ln w="136525">
          <a:solidFill>
            <a:srgbClr val="C0C0C0"/>
          </a:solidFill>
          <a:round/>
          <a:headEnd/>
          <a:tailEnd/>
        </a:ln>
      </xdr:spPr>
    </xdr:sp>
    <xdr:clientData/>
  </xdr:twoCellAnchor>
  <xdr:twoCellAnchor>
    <xdr:from>
      <xdr:col>25</xdr:col>
      <xdr:colOff>106680</xdr:colOff>
      <xdr:row>32</xdr:row>
      <xdr:rowOff>15240</xdr:rowOff>
    </xdr:from>
    <xdr:to>
      <xdr:col>25</xdr:col>
      <xdr:colOff>297180</xdr:colOff>
      <xdr:row>33</xdr:row>
      <xdr:rowOff>0</xdr:rowOff>
    </xdr:to>
    <xdr:grpSp>
      <xdr:nvGrpSpPr>
        <xdr:cNvPr id="1376" name="Group 352"/>
        <xdr:cNvGrpSpPr>
          <a:grpSpLocks/>
        </xdr:cNvGrpSpPr>
      </xdr:nvGrpSpPr>
      <xdr:grpSpPr bwMode="auto">
        <a:xfrm>
          <a:off x="10919460" y="7216140"/>
          <a:ext cx="190500" cy="213360"/>
          <a:chOff x="1473" y="730"/>
          <a:chExt cx="18" cy="18"/>
        </a:xfrm>
      </xdr:grpSpPr>
      <xdr:sp macro="" textlink="">
        <xdr:nvSpPr>
          <xdr:cNvPr id="1377" name="Oval 353"/>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78" name="Picture 354"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6</xdr:col>
      <xdr:colOff>15240</xdr:colOff>
      <xdr:row>1</xdr:row>
      <xdr:rowOff>0</xdr:rowOff>
    </xdr:from>
    <xdr:to>
      <xdr:col>24</xdr:col>
      <xdr:colOff>304800</xdr:colOff>
      <xdr:row>13</xdr:row>
      <xdr:rowOff>365760</xdr:rowOff>
    </xdr:to>
    <xdr:sp macro="" textlink="">
      <xdr:nvSpPr>
        <xdr:cNvPr id="123" name="Abgerundetes Rechteck 122"/>
        <xdr:cNvSpPr/>
      </xdr:nvSpPr>
      <xdr:spPr bwMode="auto">
        <a:xfrm>
          <a:off x="2628900" y="304800"/>
          <a:ext cx="8176260" cy="3025140"/>
        </a:xfrm>
        <a:prstGeom prst="roundRect">
          <a:avLst>
            <a:gd name="adj" fmla="val 4576"/>
          </a:avLst>
        </a:prstGeom>
        <a:solidFill>
          <a:srgbClr val="FFFFFF">
            <a:alpha val="0"/>
          </a:srgbClr>
        </a:solidFill>
        <a:ln w="158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ctr"/>
          <a:endParaRPr lang="de-DE" sz="1100"/>
        </a:p>
      </xdr:txBody>
    </xdr:sp>
    <xdr:clientData/>
  </xdr:twoCellAnchor>
  <xdr:twoCellAnchor>
    <xdr:from>
      <xdr:col>29</xdr:col>
      <xdr:colOff>106680</xdr:colOff>
      <xdr:row>32</xdr:row>
      <xdr:rowOff>15240</xdr:rowOff>
    </xdr:from>
    <xdr:to>
      <xdr:col>29</xdr:col>
      <xdr:colOff>297180</xdr:colOff>
      <xdr:row>33</xdr:row>
      <xdr:rowOff>0</xdr:rowOff>
    </xdr:to>
    <xdr:grpSp>
      <xdr:nvGrpSpPr>
        <xdr:cNvPr id="124" name="Group 255"/>
        <xdr:cNvGrpSpPr>
          <a:grpSpLocks/>
        </xdr:cNvGrpSpPr>
      </xdr:nvGrpSpPr>
      <xdr:grpSpPr bwMode="auto">
        <a:xfrm>
          <a:off x="12672060" y="7216140"/>
          <a:ext cx="190500" cy="213360"/>
          <a:chOff x="1473" y="730"/>
          <a:chExt cx="18" cy="18"/>
        </a:xfrm>
      </xdr:grpSpPr>
      <xdr:sp macro="" textlink="">
        <xdr:nvSpPr>
          <xdr:cNvPr id="125" name="Oval 256"/>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6" name="Picture 257"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29</xdr:col>
      <xdr:colOff>106680</xdr:colOff>
      <xdr:row>32</xdr:row>
      <xdr:rowOff>15240</xdr:rowOff>
    </xdr:from>
    <xdr:to>
      <xdr:col>29</xdr:col>
      <xdr:colOff>297180</xdr:colOff>
      <xdr:row>33</xdr:row>
      <xdr:rowOff>0</xdr:rowOff>
    </xdr:to>
    <xdr:grpSp>
      <xdr:nvGrpSpPr>
        <xdr:cNvPr id="127" name="Group 352"/>
        <xdr:cNvGrpSpPr>
          <a:grpSpLocks/>
        </xdr:cNvGrpSpPr>
      </xdr:nvGrpSpPr>
      <xdr:grpSpPr bwMode="auto">
        <a:xfrm>
          <a:off x="12672060" y="7216140"/>
          <a:ext cx="190500" cy="213360"/>
          <a:chOff x="1473" y="730"/>
          <a:chExt cx="18" cy="18"/>
        </a:xfrm>
      </xdr:grpSpPr>
      <xdr:sp macro="" textlink="">
        <xdr:nvSpPr>
          <xdr:cNvPr id="128" name="Oval 353"/>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29" name="Picture 354"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33</xdr:col>
      <xdr:colOff>106680</xdr:colOff>
      <xdr:row>32</xdr:row>
      <xdr:rowOff>15240</xdr:rowOff>
    </xdr:from>
    <xdr:to>
      <xdr:col>33</xdr:col>
      <xdr:colOff>297180</xdr:colOff>
      <xdr:row>33</xdr:row>
      <xdr:rowOff>0</xdr:rowOff>
    </xdr:to>
    <xdr:grpSp>
      <xdr:nvGrpSpPr>
        <xdr:cNvPr id="130" name="Group 252"/>
        <xdr:cNvGrpSpPr>
          <a:grpSpLocks/>
        </xdr:cNvGrpSpPr>
      </xdr:nvGrpSpPr>
      <xdr:grpSpPr bwMode="auto">
        <a:xfrm>
          <a:off x="14424660" y="7216140"/>
          <a:ext cx="190500" cy="213360"/>
          <a:chOff x="1473" y="730"/>
          <a:chExt cx="18" cy="18"/>
        </a:xfrm>
      </xdr:grpSpPr>
      <xdr:sp macro="" textlink="">
        <xdr:nvSpPr>
          <xdr:cNvPr id="131" name="Oval 253"/>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2" name="Picture 254"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33</xdr:col>
      <xdr:colOff>106680</xdr:colOff>
      <xdr:row>32</xdr:row>
      <xdr:rowOff>15240</xdr:rowOff>
    </xdr:from>
    <xdr:to>
      <xdr:col>33</xdr:col>
      <xdr:colOff>297180</xdr:colOff>
      <xdr:row>33</xdr:row>
      <xdr:rowOff>0</xdr:rowOff>
    </xdr:to>
    <xdr:grpSp>
      <xdr:nvGrpSpPr>
        <xdr:cNvPr id="133" name="Group 255"/>
        <xdr:cNvGrpSpPr>
          <a:grpSpLocks/>
        </xdr:cNvGrpSpPr>
      </xdr:nvGrpSpPr>
      <xdr:grpSpPr bwMode="auto">
        <a:xfrm>
          <a:off x="14424660" y="7216140"/>
          <a:ext cx="190500" cy="213360"/>
          <a:chOff x="1473" y="730"/>
          <a:chExt cx="18" cy="18"/>
        </a:xfrm>
      </xdr:grpSpPr>
      <xdr:sp macro="" textlink="">
        <xdr:nvSpPr>
          <xdr:cNvPr id="134" name="Oval 256"/>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5" name="Picture 257"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twoCellAnchor>
    <xdr:from>
      <xdr:col>33</xdr:col>
      <xdr:colOff>106680</xdr:colOff>
      <xdr:row>32</xdr:row>
      <xdr:rowOff>15240</xdr:rowOff>
    </xdr:from>
    <xdr:to>
      <xdr:col>33</xdr:col>
      <xdr:colOff>297180</xdr:colOff>
      <xdr:row>33</xdr:row>
      <xdr:rowOff>0</xdr:rowOff>
    </xdr:to>
    <xdr:grpSp>
      <xdr:nvGrpSpPr>
        <xdr:cNvPr id="136" name="Group 352"/>
        <xdr:cNvGrpSpPr>
          <a:grpSpLocks/>
        </xdr:cNvGrpSpPr>
      </xdr:nvGrpSpPr>
      <xdr:grpSpPr bwMode="auto">
        <a:xfrm>
          <a:off x="14424660" y="7216140"/>
          <a:ext cx="190500" cy="213360"/>
          <a:chOff x="1473" y="730"/>
          <a:chExt cx="18" cy="18"/>
        </a:xfrm>
      </xdr:grpSpPr>
      <xdr:sp macro="" textlink="">
        <xdr:nvSpPr>
          <xdr:cNvPr id="137" name="Oval 353"/>
          <xdr:cNvSpPr>
            <a:spLocks noChangeArrowheads="1"/>
          </xdr:cNvSpPr>
        </xdr:nvSpPr>
        <xdr:spPr bwMode="auto">
          <a:xfrm>
            <a:off x="1473" y="730"/>
            <a:ext cx="18" cy="18"/>
          </a:xfrm>
          <a:prstGeom prst="ellipse">
            <a:avLst/>
          </a:prstGeom>
          <a:solidFill>
            <a:srgbClr val="FFFF00"/>
          </a:solidFill>
          <a:ln w="6350">
            <a:solidFill>
              <a:srgbClr val="000000"/>
            </a:solidFill>
            <a:round/>
            <a:headEnd/>
            <a:tailEnd/>
          </a:ln>
        </xdr:spPr>
      </xdr:sp>
      <xdr:pic>
        <xdr:nvPicPr>
          <xdr:cNvPr id="138" name="Picture 354" descr="E:\Dokumente und Einstellungen\a\Anwendungsdaten\Microsoft\Media Catalog\Downloaded Clips\cl79\j0303547.wmf"/>
          <xdr:cNvPicPr>
            <a:picLocks noChangeAspect="1" noChangeArrowheads="1"/>
          </xdr:cNvPicPr>
        </xdr:nvPicPr>
        <xdr:blipFill>
          <a:blip xmlns:r="http://schemas.openxmlformats.org/officeDocument/2006/relationships" r:embed="rId1" cstate="print">
            <a:lum bright="-100000" contrast="-100000"/>
          </a:blip>
          <a:srcRect/>
          <a:stretch>
            <a:fillRect/>
          </a:stretch>
        </xdr:blipFill>
        <xdr:spPr bwMode="auto">
          <a:xfrm>
            <a:off x="1475" y="733"/>
            <a:ext cx="14" cy="13"/>
          </a:xfrm>
          <a:prstGeom prst="rect">
            <a:avLst/>
          </a:prstGeom>
          <a:noFill/>
        </xdr:spPr>
      </xdr:pic>
    </xdr:grpSp>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Tabelle1"/>
  <dimension ref="A1:AT119"/>
  <sheetViews>
    <sheetView topLeftCell="A117" workbookViewId="0">
      <selection activeCell="D117" sqref="D117"/>
    </sheetView>
  </sheetViews>
  <sheetFormatPr baseColWidth="10" defaultRowHeight="13.8"/>
  <cols>
    <col min="1" max="1" width="13.3984375" bestFit="1" customWidth="1"/>
    <col min="2" max="2" width="7.19921875" bestFit="1" customWidth="1"/>
    <col min="3" max="3" width="12.5" bestFit="1" customWidth="1"/>
    <col min="4" max="4" width="10.8984375" bestFit="1" customWidth="1"/>
    <col min="5" max="5" width="3.8984375" bestFit="1" customWidth="1"/>
    <col min="6" max="7" width="7.5" bestFit="1" customWidth="1"/>
    <col min="8" max="8" width="10.59765625" bestFit="1" customWidth="1"/>
    <col min="9" max="9" width="7.59765625" bestFit="1" customWidth="1"/>
    <col min="10" max="10" width="19.3984375" bestFit="1" customWidth="1"/>
    <col min="11" max="11" width="11.09765625" bestFit="1" customWidth="1"/>
    <col min="12" max="12" width="11.3984375" bestFit="1" customWidth="1"/>
    <col min="13" max="13" width="7.5" bestFit="1" customWidth="1"/>
    <col min="14" max="14" width="19.5" style="103" bestFit="1" customWidth="1"/>
    <col min="16" max="16" width="9.19921875" bestFit="1" customWidth="1"/>
    <col min="17" max="17" width="19.5" style="103" bestFit="1" customWidth="1"/>
    <col min="18" max="18" width="5" bestFit="1" customWidth="1"/>
    <col min="19" max="19" width="19.5" style="103" bestFit="1" customWidth="1"/>
    <col min="20" max="20" width="22.09765625" bestFit="1" customWidth="1"/>
    <col min="21" max="21" width="8.8984375" bestFit="1" customWidth="1"/>
    <col min="22" max="22" width="22.59765625" bestFit="1" customWidth="1"/>
    <col min="23" max="23" width="6.59765625" customWidth="1"/>
    <col min="24" max="25" width="12.5" bestFit="1" customWidth="1"/>
    <col min="26" max="26" width="9.8984375" bestFit="1" customWidth="1"/>
    <col min="27" max="27" width="13.19921875" bestFit="1" customWidth="1"/>
    <col min="28" max="28" width="17.5" style="109" bestFit="1" customWidth="1"/>
    <col min="29" max="29" width="12" bestFit="1" customWidth="1"/>
    <col min="30" max="30" width="50.59765625" customWidth="1"/>
    <col min="31" max="31" width="11.09765625" customWidth="1"/>
    <col min="32" max="32" width="18.3984375" style="46" bestFit="1" customWidth="1"/>
    <col min="33" max="33" width="10.8984375" bestFit="1" customWidth="1"/>
    <col min="34" max="34" width="12.5" bestFit="1" customWidth="1"/>
    <col min="35" max="35" width="12.19921875" bestFit="1" customWidth="1"/>
    <col min="36" max="36" width="16.19921875" bestFit="1" customWidth="1"/>
    <col min="37" max="37" width="14.19921875" bestFit="1" customWidth="1"/>
    <col min="38" max="38" width="9.5" bestFit="1" customWidth="1"/>
    <col min="39" max="39" width="14.19921875" bestFit="1" customWidth="1"/>
    <col min="40" max="40" width="4.3984375" bestFit="1" customWidth="1"/>
    <col min="41" max="41" width="9.69921875" bestFit="1" customWidth="1"/>
    <col min="42" max="44" width="50.59765625" customWidth="1"/>
    <col min="45" max="45" width="50.59765625" style="104" customWidth="1"/>
    <col min="46" max="46" width="12.19921875" customWidth="1"/>
  </cols>
  <sheetData>
    <row r="1" spans="1:46" s="47" customFormat="1">
      <c r="A1" s="47" t="s">
        <v>1056</v>
      </c>
      <c r="B1" s="47" t="s">
        <v>1057</v>
      </c>
      <c r="C1" s="47" t="s">
        <v>1058</v>
      </c>
      <c r="D1" s="47" t="s">
        <v>1059</v>
      </c>
      <c r="E1" s="47" t="s">
        <v>1060</v>
      </c>
      <c r="F1" s="47" t="s">
        <v>1061</v>
      </c>
      <c r="G1" s="47" t="s">
        <v>1062</v>
      </c>
      <c r="H1" s="47" t="s">
        <v>1063</v>
      </c>
      <c r="I1" s="47" t="s">
        <v>168</v>
      </c>
      <c r="J1" s="47" t="s">
        <v>169</v>
      </c>
      <c r="K1" s="47" t="s">
        <v>170</v>
      </c>
      <c r="L1" s="47" t="s">
        <v>1064</v>
      </c>
      <c r="M1" s="47" t="s">
        <v>153</v>
      </c>
      <c r="N1" s="103" t="s">
        <v>241</v>
      </c>
      <c r="P1" s="47" t="s">
        <v>154</v>
      </c>
      <c r="Q1" s="103" t="s">
        <v>242</v>
      </c>
      <c r="R1" s="47" t="s">
        <v>155</v>
      </c>
      <c r="S1" s="103" t="s">
        <v>243</v>
      </c>
      <c r="T1" s="47" t="s">
        <v>157</v>
      </c>
      <c r="U1" s="47" t="s">
        <v>156</v>
      </c>
      <c r="V1" s="47" t="s">
        <v>768</v>
      </c>
      <c r="W1" s="47" t="s">
        <v>872</v>
      </c>
      <c r="X1" s="47" t="s">
        <v>976</v>
      </c>
      <c r="Y1" s="47" t="s">
        <v>977</v>
      </c>
      <c r="Z1" s="47" t="s">
        <v>989</v>
      </c>
      <c r="AA1" s="47" t="s">
        <v>133</v>
      </c>
      <c r="AB1" s="106" t="s">
        <v>132</v>
      </c>
      <c r="AC1" s="47" t="s">
        <v>158</v>
      </c>
      <c r="AD1" s="47" t="s">
        <v>7</v>
      </c>
      <c r="AE1" s="47" t="s">
        <v>1218</v>
      </c>
      <c r="AF1" s="48" t="s">
        <v>993</v>
      </c>
      <c r="AG1" s="47" t="s">
        <v>996</v>
      </c>
      <c r="AH1" s="47" t="s">
        <v>997</v>
      </c>
      <c r="AI1" s="47" t="s">
        <v>160</v>
      </c>
      <c r="AJ1" s="47" t="s">
        <v>159</v>
      </c>
      <c r="AK1" s="47" t="s">
        <v>1160</v>
      </c>
      <c r="AL1" s="47" t="s">
        <v>161</v>
      </c>
      <c r="AM1" s="47" t="s">
        <v>162</v>
      </c>
      <c r="AN1" s="47" t="s">
        <v>240</v>
      </c>
      <c r="AO1" s="47" t="s">
        <v>1234</v>
      </c>
      <c r="AP1" s="47" t="s">
        <v>164</v>
      </c>
      <c r="AQ1" s="47" t="s">
        <v>165</v>
      </c>
      <c r="AR1" s="47" t="s">
        <v>166</v>
      </c>
      <c r="AS1" s="105" t="s">
        <v>163</v>
      </c>
    </row>
    <row r="2" spans="1:46" ht="289.8">
      <c r="A2">
        <v>1</v>
      </c>
      <c r="B2" t="s">
        <v>1065</v>
      </c>
      <c r="C2" t="s">
        <v>1066</v>
      </c>
      <c r="D2">
        <v>1.0079400000000001</v>
      </c>
      <c r="E2">
        <v>2.1</v>
      </c>
      <c r="F2" t="s">
        <v>527</v>
      </c>
      <c r="G2" t="s">
        <v>528</v>
      </c>
      <c r="H2" s="147" t="s">
        <v>978</v>
      </c>
      <c r="I2">
        <v>1766</v>
      </c>
      <c r="J2" t="s">
        <v>192</v>
      </c>
      <c r="K2" t="s">
        <v>1067</v>
      </c>
      <c r="L2">
        <v>21</v>
      </c>
      <c r="M2">
        <v>37.299999999999997</v>
      </c>
      <c r="N2" s="103">
        <v>1312.06</v>
      </c>
      <c r="P2">
        <v>218</v>
      </c>
      <c r="Q2" s="103" t="s">
        <v>1068</v>
      </c>
      <c r="R2">
        <v>0</v>
      </c>
      <c r="S2" s="103" t="s">
        <v>1068</v>
      </c>
      <c r="T2" t="s">
        <v>1069</v>
      </c>
      <c r="U2" t="s">
        <v>1070</v>
      </c>
      <c r="V2" t="s">
        <v>770</v>
      </c>
      <c r="W2" t="s">
        <v>879</v>
      </c>
      <c r="X2" t="str">
        <f>X3</f>
        <v>Wasserstoff</v>
      </c>
      <c r="Y2" t="str">
        <f>C3</f>
        <v>Helium</v>
      </c>
      <c r="Z2" t="s">
        <v>990</v>
      </c>
      <c r="AA2" s="72" t="s">
        <v>1021</v>
      </c>
      <c r="AB2" s="108" t="s">
        <v>1147</v>
      </c>
      <c r="AC2" s="89"/>
      <c r="AD2" s="87" t="s">
        <v>1161</v>
      </c>
      <c r="AE2" s="87" t="str">
        <f>CONCATENATE("&lt;b&gt;{{PAGENAME}}&lt;/b&gt; ist das chemische Symbol für das [[PSE|Element]] &lt;b&gt;&amp;rarr; [[",C2,"]]&lt;/b&gt;, von lat./griech. ",AB2,", Wassererzeuger.")</f>
        <v>&lt;b&gt;{{PAGENAME}}&lt;/b&gt; ist das chemische Symbol für das [[PSE|Element]] &lt;b&gt;&amp;rarr; [[Wasserstoff]]&lt;/b&gt;, von lat./griech. &lt;b&gt;&lt;i&gt;H&lt;/b&gt;ydrogenium&lt;/i&gt;, Wassererzeuger.</v>
      </c>
      <c r="AG2" t="str">
        <f>C2</f>
        <v>Wasserstoff</v>
      </c>
      <c r="AH2" t="s">
        <v>1075</v>
      </c>
      <c r="AK2" t="str">
        <f>CONCATENATE(" wurde ",I2," in ",K2," durch ",J2," entdeckt.")</f>
        <v xml:space="preserve"> wurde 1766 in England durch Boyle, Cavendish entdeckt.</v>
      </c>
      <c r="AN2" t="str">
        <f t="shared" ref="AN2:AN10" si="0">CONCATENATE("00",A2,)</f>
        <v>001</v>
      </c>
      <c r="AO2" t="s">
        <v>1235</v>
      </c>
      <c r="AP2" s="87" t="str">
        <f t="shared" ref="AP2:AP33" si="1">CONCATENATE("{{Element|Ordnungszahl=",A2,"|Symbol=",B2,"|Name=",C2,"|Atommasse=",D2,"|EN=",E2,"|BP=",F2,"|MP=",G2,"|Dichte=",H2,"|Ionenradius=",L2,"|Ivolt=",N2,"|Aradius=",M2)</f>
        <v>{{Element|Ordnungszahl=1|Symbol=H|Name=Wasserstoff|Atommasse=1,00794|EN=2,1|BP=-253 °C|MP=-259 °C|Dichte=0,09 g/L|Ionenradius=21|Ivolt=1312,06|Aradius=37,3</v>
      </c>
      <c r="AQ2" s="87" t="str">
        <f>CONCATENATE("|Enthalpie=",P2,"|IVolt2=",Q2,"|Wert=",R2,"|IVolt3=",S2,"|Farbe=",T2,"|Flamme=",U2,"|Elektronenkonfiguration=",V2,"|EK-Wiki=",W2,"|pre=",X2,"|next=",Y2,"|Metall=",Z2,"|E-Name=",AA2,"|L-Name=",AB2)</f>
        <v>|Enthalpie=218|IVolt2=-|Wert=0|IVolt3=-|Farbe=farblos|Flamme=rot|Elektronenkonfiguration=1s1|EK-Wiki=1s&lt;sup&gt;1&lt;/sup&gt;|pre=Wasserstoff|next=Helium|Metall=Nichtmetall|E-Name=Hydrogen|L-Name=&lt;b&gt;&lt;i&gt;H&lt;/b&gt;ydrogenium&lt;/i&gt;</v>
      </c>
      <c r="AR2" s="87" t="str">
        <f>CONCATENATE("|Verwendung=",AC2,"|Wortherkunft=",AD2,"|L-Abk. bzw. redirect=",AE2,"|radioaktiv=",AF2,"|hoch=",AG2,"|runter=",AH2,"|Bild-Element=",AI2,"|Bild-Verwendung=",AJ2,"|www=",AK2,"|E-Gruppe=",AL2,"|Sonstiges-kurz=",AM2,"|OZ3=",AN2,"|WL=",AO2,"|Text= }}
[[Kategorie:Chemie]][[Kategorie:Chemikalien]]")</f>
        <v>|Verwendung=|Wortherkunft=Die lat./griech. Elementbezeichnung Hydrogenium bedeutet "[[Wasser]]-Bildner", siehe [[Knallgasreaktion]].|L-Abk. bzw. redirect=&lt;b&gt;{{PAGENAME}}&lt;/b&gt; ist das chemische Symbol für das [[PSE|Element]] &lt;b&gt;&amp;rarr; [[Wasserstoff]]&lt;/b&gt;, von lat./griech. &lt;b&gt;&lt;i&gt;H&lt;/b&gt;ydrogenium&lt;/i&gt;, Wassererzeuger.|radioaktiv=|hoch=Wasserstoff|runter=Lithium|Bild-Element=|Bild-Verwendung=|www= wurde 1766 in England durch Boyle, Cavendish entdeckt.|E-Gruppe=|Sonstiges-kurz=|OZ3=001|WL=Sammlung|Text= }}
[[Kategorie:Chemie]][[Kategorie:Chemikalien]]</v>
      </c>
      <c r="AS2" s="104" t="str">
        <f t="shared" ref="AS2:AS40" si="2">CONCATENATE(AP2,AQ2,AR2)</f>
        <v>{{Element|Ordnungszahl=1|Symbol=H|Name=Wasserstoff|Atommasse=1,00794|EN=2,1|BP=-253 °C|MP=-259 °C|Dichte=0,09 g/L|Ionenradius=21|Ivolt=1312,06|Aradius=37,3|Enthalpie=218|IVolt2=-|Wert=0|IVolt3=-|Farbe=farblos|Flamme=rot|Elektronenkonfiguration=1s1|EK-Wiki=1s&lt;sup&gt;1&lt;/sup&gt;|pre=Wasserstoff|next=Helium|Metall=Nichtmetall|E-Name=Hydrogen|L-Name=&lt;b&gt;&lt;i&gt;H&lt;/b&gt;ydrogenium&lt;/i&gt;|Verwendung=|Wortherkunft=Die lat./griech. Elementbezeichnung Hydrogenium bedeutet "[[Wasser]]-Bildner", siehe [[Knallgasreaktion]].|L-Abk. bzw. redirect=&lt;b&gt;{{PAGENAME}}&lt;/b&gt; ist das chemische Symbol für das [[PSE|Element]] &lt;b&gt;&amp;rarr; [[Wasserstoff]]&lt;/b&gt;, von lat./griech. &lt;b&gt;&lt;i&gt;H&lt;/b&gt;ydrogenium&lt;/i&gt;, Wassererzeuger.|radioaktiv=|hoch=Wasserstoff|runter=Lithium|Bild-Element=|Bild-Verwendung=|www= wurde 1766 in England durch Boyle, Cavendish entdeckt.|E-Gruppe=|Sonstiges-kurz=|OZ3=001|WL=Sammlung|Text= }}
[[Kategorie:Chemie]][[Kategorie:Chemikalien]]</v>
      </c>
    </row>
    <row r="3" spans="1:46" ht="248.4">
      <c r="A3">
        <v>2</v>
      </c>
      <c r="B3" t="s">
        <v>1071</v>
      </c>
      <c r="C3" t="s">
        <v>1072</v>
      </c>
      <c r="D3">
        <v>4.0026020000000004</v>
      </c>
      <c r="E3">
        <v>0</v>
      </c>
      <c r="F3" t="s">
        <v>529</v>
      </c>
      <c r="G3" t="s">
        <v>530</v>
      </c>
      <c r="H3" t="s">
        <v>979</v>
      </c>
      <c r="I3">
        <v>1895</v>
      </c>
      <c r="J3" t="s">
        <v>193</v>
      </c>
      <c r="K3" t="s">
        <v>1073</v>
      </c>
      <c r="L3" t="s">
        <v>1068</v>
      </c>
      <c r="M3">
        <v>128</v>
      </c>
      <c r="N3" s="103">
        <v>2372.34</v>
      </c>
      <c r="P3">
        <v>0</v>
      </c>
      <c r="Q3" s="103">
        <v>5250.56</v>
      </c>
      <c r="R3" t="s">
        <v>1068</v>
      </c>
      <c r="S3" s="103" t="s">
        <v>1068</v>
      </c>
      <c r="T3" t="s">
        <v>1069</v>
      </c>
      <c r="V3" t="s">
        <v>769</v>
      </c>
      <c r="W3" t="s">
        <v>880</v>
      </c>
      <c r="X3" t="str">
        <f>C2</f>
        <v>Wasserstoff</v>
      </c>
      <c r="Y3" t="str">
        <f t="shared" ref="Y3:Y108" si="3">C4</f>
        <v>Lithium</v>
      </c>
      <c r="Z3" t="s">
        <v>990</v>
      </c>
      <c r="AA3" s="72" t="s">
        <v>1072</v>
      </c>
      <c r="AB3" s="108"/>
      <c r="AC3" s="72"/>
      <c r="AD3" s="87" t="s">
        <v>1162</v>
      </c>
      <c r="AE3" s="87" t="str">
        <f>CONCATENATE("#REDIRECT [[",C3,"]]")</f>
        <v>#REDIRECT [[Helium]]</v>
      </c>
      <c r="AG3" t="str">
        <f>C3</f>
        <v>Helium</v>
      </c>
      <c r="AH3" t="s">
        <v>1101</v>
      </c>
      <c r="AK3" t="str">
        <f t="shared" ref="AK3:AK66" si="4">CONCATENATE(" wurde ",I3," in ",K3," durch ",J3," entdeckt.")</f>
        <v xml:space="preserve"> wurde 1895 in Schottland durch Ramsay entdeckt.</v>
      </c>
      <c r="AN3" t="str">
        <f t="shared" si="0"/>
        <v>002</v>
      </c>
      <c r="AO3" t="s">
        <v>1235</v>
      </c>
      <c r="AP3" s="87" t="str">
        <f t="shared" si="1"/>
        <v>{{Element|Ordnungszahl=2|Symbol=He|Name=Helium|Atommasse=4,002602|EN=0|BP=-269 °C|MP=-270 °C|Dichte=0,179 g/L|Ionenradius=-|Ivolt=2372,34|Aradius=128</v>
      </c>
      <c r="AQ3" s="87" t="str">
        <f t="shared" ref="AQ3:AQ66" si="5">CONCATENATE("|Enthalpie=",P3,"|IVolt2=",Q3,"|Wert=",R3,"|IVolt3=",S3,"|Farbe=",T3,"|Flamme=",U3,"|Elektronenkonfiguration=",V3,"|EK-Wiki=",W3,"|pre=",X3,"|next=",Y3,"|Metall=",Z3,"|E-Name=",AA3,"|L-Name=",AB3)</f>
        <v>|Enthalpie=0|IVolt2=5250,56|Wert=-|IVolt3=-|Farbe=farblos|Flamme=|Elektronenkonfiguration=1s2|EK-Wiki=1s&lt;sup&gt;2&lt;/sup&gt;|pre=Wasserstoff|next=Lithium|Metall=Nichtmetall|E-Name=Helium|L-Name=</v>
      </c>
      <c r="AR3" s="87" t="str">
        <f t="shared" ref="AR3:AR66" si="6">CONCATENATE("|Verwendung=",AC3,"|Wortherkunft=",AD3,"|L-Abk. bzw. redirect=",AE3,"|radioaktiv=",AF3,"|hoch=",AG3,"|runter=",AH3,"|Bild-Element=",AI3,"|Bild-Verwendung=",AJ3,"|www=",AK3,"|E-Gruppe=",AL3,"|Sonstiges-kurz=",AM3,"|OZ3=",AN3,"|WL=",AO3,"|Text= }}
[[Kategorie:Chemie]][[Kategorie:Chemikalien]]")</f>
        <v>|Verwendung=|Wortherkunft=Der Name Helium leitet sich von griech. ''Helios'' = Sonne ab, denn es wurde erstmals aufgrund seiner Spektrallinien im Licht der Sonne nachgewiesen.|L-Abk. bzw. redirect=#REDIRECT [[Helium]]|radioaktiv=|hoch=Helium|runter=Neon|Bild-Element=|Bild-Verwendung=|www= wurde 1895 in Schottland durch Ramsay entdeckt.|E-Gruppe=|Sonstiges-kurz=|OZ3=002|WL=Sammlung|Text= }}
[[Kategorie:Chemie]][[Kategorie:Chemikalien]]</v>
      </c>
      <c r="AS3" s="104" t="str">
        <f t="shared" si="2"/>
        <v>{{Element|Ordnungszahl=2|Symbol=He|Name=Helium|Atommasse=4,002602|EN=0|BP=-269 °C|MP=-270 °C|Dichte=0,179 g/L|Ionenradius=-|Ivolt=2372,34|Aradius=128|Enthalpie=0|IVolt2=5250,56|Wert=-|IVolt3=-|Farbe=farblos|Flamme=|Elektronenkonfiguration=1s2|EK-Wiki=1s&lt;sup&gt;2&lt;/sup&gt;|pre=Wasserstoff|next=Lithium|Metall=Nichtmetall|E-Name=Helium|L-Name=|Verwendung=|Wortherkunft=Der Name Helium leitet sich von griech. ''Helios'' = Sonne ab, denn es wurde erstmals aufgrund seiner Spektrallinien im Licht der Sonne nachgewiesen.|L-Abk. bzw. redirect=#REDIRECT [[Helium]]|radioaktiv=|hoch=Helium|runter=Neon|Bild-Element=|Bild-Verwendung=|www= wurde 1895 in Schottland durch Ramsay entdeckt.|E-Gruppe=|Sonstiges-kurz=|OZ3=002|WL=Sammlung|Text= }}
[[Kategorie:Chemie]][[Kategorie:Chemikalien]]</v>
      </c>
      <c r="AT3" t="str">
        <f t="shared" ref="AT3:AT33" si="7">CONCATENATE(AK3," http://www.webelements.com/webelements/elements/media/element-pics/",B3,".jpg")</f>
        <v xml:space="preserve"> wurde 1895 in Schottland durch Ramsay entdeckt. http://www.webelements.com/webelements/elements/media/element-pics/He.jpg</v>
      </c>
    </row>
    <row r="4" spans="1:46" ht="234.6">
      <c r="A4">
        <v>3</v>
      </c>
      <c r="B4" t="s">
        <v>1074</v>
      </c>
      <c r="C4" t="s">
        <v>1075</v>
      </c>
      <c r="D4">
        <v>6.9409999999999998</v>
      </c>
      <c r="E4">
        <v>1</v>
      </c>
      <c r="F4" t="s">
        <v>531</v>
      </c>
      <c r="G4" t="s">
        <v>532</v>
      </c>
      <c r="H4" t="s">
        <v>732</v>
      </c>
      <c r="I4">
        <v>1817</v>
      </c>
      <c r="J4" t="s">
        <v>194</v>
      </c>
      <c r="K4" t="s">
        <v>1076</v>
      </c>
      <c r="L4">
        <v>78</v>
      </c>
      <c r="M4">
        <v>152</v>
      </c>
      <c r="N4" s="103">
        <v>520.23</v>
      </c>
      <c r="P4" t="s">
        <v>1077</v>
      </c>
      <c r="Q4" s="103">
        <v>7298.22</v>
      </c>
      <c r="R4">
        <v>1</v>
      </c>
      <c r="S4" s="103">
        <v>11815.13</v>
      </c>
      <c r="T4" t="s">
        <v>1229</v>
      </c>
      <c r="U4" t="s">
        <v>1070</v>
      </c>
      <c r="V4" t="s">
        <v>771</v>
      </c>
      <c r="W4" t="s">
        <v>873</v>
      </c>
      <c r="X4" t="str">
        <f t="shared" ref="X4:X67" si="8">C3</f>
        <v>Helium</v>
      </c>
      <c r="Y4" t="str">
        <f t="shared" si="3"/>
        <v>Beryllium</v>
      </c>
      <c r="Z4" t="s">
        <v>989</v>
      </c>
      <c r="AA4" s="72" t="s">
        <v>1075</v>
      </c>
      <c r="AB4" s="108"/>
      <c r="AC4" s="72"/>
      <c r="AD4" s="87" t="s">
        <v>1212</v>
      </c>
      <c r="AE4" s="87" t="str">
        <f t="shared" ref="AE4:AE118" si="9">CONCATENATE("#REDIRECT [[",C4,"]]")</f>
        <v>#REDIRECT [[Lithium]]</v>
      </c>
      <c r="AG4" t="str">
        <f>C2</f>
        <v>Wasserstoff</v>
      </c>
      <c r="AH4" t="s">
        <v>1103</v>
      </c>
      <c r="AK4" t="str">
        <f t="shared" si="4"/>
        <v xml:space="preserve"> wurde 1817 in Schweden durch Arfvedson entdeckt.</v>
      </c>
      <c r="AN4" t="str">
        <f t="shared" si="0"/>
        <v>003</v>
      </c>
      <c r="AO4" t="s">
        <v>1235</v>
      </c>
      <c r="AP4" s="87" t="str">
        <f t="shared" si="1"/>
        <v>{{Element|Ordnungszahl=3|Symbol=Li|Name=Lithium|Atommasse=6,941|EN=1|BP=1330 °C|MP=180 °C|Dichte=0,534 g/cm³|Ionenradius=78|Ivolt=520,23|Aradius=152</v>
      </c>
      <c r="AQ4" s="87" t="str">
        <f t="shared" si="5"/>
        <v>|Enthalpie=159.4|IVolt2=7298,22|Wert=1|IVolt3=11815,13|Farbe=silbrig-weiß|Flamme=rot|Elektronenkonfiguration=[He] 2s1|EK-Wiki=[He] 2s&lt;sup&gt;1&lt;/sup&gt;|pre=Helium|next=Beryllium|Metall=Metall|E-Name=Lithium|L-Name=</v>
      </c>
      <c r="AR4" s="87" t="str">
        <f t="shared" si="6"/>
        <v>|Verwendung=|Wortherkunft=Der Name stammt vom altgriechischen Wort ''lithos'' = Stein, da Lithium zuerst im Gestein nachgewiesen wurde).|L-Abk. bzw. redirect=#REDIRECT [[Lithium]]|radioaktiv=|hoch=Wasserstoff|runter=Natrium|Bild-Element=|Bild-Verwendung=|www= wurde 1817 in Schweden durch Arfvedson entdeckt.|E-Gruppe=|Sonstiges-kurz=|OZ3=003|WL=Sammlung|Text= }}
[[Kategorie:Chemie]][[Kategorie:Chemikalien]]</v>
      </c>
      <c r="AS4" s="104" t="str">
        <f t="shared" si="2"/>
        <v>{{Element|Ordnungszahl=3|Symbol=Li|Name=Lithium|Atommasse=6,941|EN=1|BP=1330 °C|MP=180 °C|Dichte=0,534 g/cm³|Ionenradius=78|Ivolt=520,23|Aradius=152|Enthalpie=159.4|IVolt2=7298,22|Wert=1|IVolt3=11815,13|Farbe=silbrig-weiß|Flamme=rot|Elektronenkonfiguration=[He] 2s1|EK-Wiki=[He] 2s&lt;sup&gt;1&lt;/sup&gt;|pre=Helium|next=Beryllium|Metall=Metall|E-Name=Lithium|L-Name=|Verwendung=|Wortherkunft=Der Name stammt vom altgriechischen Wort ''lithos'' = Stein, da Lithium zuerst im Gestein nachgewiesen wurde).|L-Abk. bzw. redirect=#REDIRECT [[Lithium]]|radioaktiv=|hoch=Wasserstoff|runter=Natrium|Bild-Element=|Bild-Verwendung=|www= wurde 1817 in Schweden durch Arfvedson entdeckt.|E-Gruppe=|Sonstiges-kurz=|OZ3=003|WL=Sammlung|Text= }}
[[Kategorie:Chemie]][[Kategorie:Chemikalien]]</v>
      </c>
      <c r="AT4" t="str">
        <f t="shared" si="7"/>
        <v xml:space="preserve"> wurde 1817 in Schweden durch Arfvedson entdeckt. http://www.webelements.com/webelements/elements/media/element-pics/Li.jpg</v>
      </c>
    </row>
    <row r="5" spans="1:46" ht="248.4">
      <c r="A5">
        <v>4</v>
      </c>
      <c r="B5" t="s">
        <v>1078</v>
      </c>
      <c r="C5" t="s">
        <v>1079</v>
      </c>
      <c r="D5">
        <v>9.0121819999999992</v>
      </c>
      <c r="E5">
        <v>1.5</v>
      </c>
      <c r="F5" t="s">
        <v>533</v>
      </c>
      <c r="G5" t="s">
        <v>534</v>
      </c>
      <c r="H5" t="s">
        <v>737</v>
      </c>
      <c r="I5">
        <v>1798</v>
      </c>
      <c r="J5" t="s">
        <v>195</v>
      </c>
      <c r="K5" t="s">
        <v>1080</v>
      </c>
      <c r="L5">
        <v>34</v>
      </c>
      <c r="M5">
        <v>113.3</v>
      </c>
      <c r="N5" s="103">
        <v>899.51</v>
      </c>
      <c r="P5" t="s">
        <v>1081</v>
      </c>
      <c r="Q5" s="103">
        <v>1757.12</v>
      </c>
      <c r="R5">
        <v>2</v>
      </c>
      <c r="S5" s="103">
        <v>14848.87</v>
      </c>
      <c r="T5" t="s">
        <v>1082</v>
      </c>
      <c r="V5" t="s">
        <v>772</v>
      </c>
      <c r="W5" t="s">
        <v>881</v>
      </c>
      <c r="X5" t="str">
        <f t="shared" si="8"/>
        <v>Lithium</v>
      </c>
      <c r="Y5" t="str">
        <f t="shared" si="3"/>
        <v>Bor</v>
      </c>
      <c r="Z5" t="s">
        <v>989</v>
      </c>
      <c r="AA5" s="72" t="s">
        <v>1079</v>
      </c>
      <c r="AB5" s="108"/>
      <c r="AC5" s="72"/>
      <c r="AD5" s="87" t="s">
        <v>1163</v>
      </c>
      <c r="AE5" s="87" t="str">
        <f t="shared" si="9"/>
        <v>#REDIRECT [[Beryllium]]</v>
      </c>
      <c r="AG5" t="str">
        <f t="shared" ref="AG5:AG10" si="10">C5</f>
        <v>Beryllium</v>
      </c>
      <c r="AH5" t="str">
        <f t="shared" ref="AH5:AH13" si="11">C13</f>
        <v>Magnesium</v>
      </c>
      <c r="AK5" t="str">
        <f t="shared" si="4"/>
        <v xml:space="preserve"> wurde 1798 in Frankreich durch Vauquelin entdeckt.</v>
      </c>
      <c r="AN5" t="str">
        <f t="shared" si="0"/>
        <v>004</v>
      </c>
      <c r="AO5" t="s">
        <v>1235</v>
      </c>
      <c r="AP5" s="87" t="str">
        <f t="shared" si="1"/>
        <v>{{Element|Ordnungszahl=4|Symbol=Be|Name=Beryllium|Atommasse=9,012182|EN=1,5|BP=2480 °C|MP=1280 °C|Dichte=1,86 g/cm³|Ionenradius=34|Ivolt=899,51|Aradius=113,3</v>
      </c>
      <c r="AQ5" s="87" t="str">
        <f t="shared" si="5"/>
        <v>|Enthalpie=324.3|IVolt2=1757,12|Wert=2|IVolt3=14848,87|Farbe=grau-weiß|Flamme=|Elektronenkonfiguration=[He] 2s2|EK-Wiki=[He] 2s&lt;sup&gt;2&lt;/sup&gt;|pre=Lithium|next=Bor|Metall=Metall|E-Name=Beryllium|L-Name=</v>
      </c>
      <c r="AR5" s="87" t="str">
        <f t="shared" si="6"/>
        <v>|Verwendung=|Wortherkunft=Die Bezeichnung Beryllium leitet sich von Beryll ab, einem Edelstein, der Beryllium enthält.|L-Abk. bzw. redirect=#REDIRECT [[Beryllium]]|radioaktiv=|hoch=Beryllium|runter=Magnesium|Bild-Element=|Bild-Verwendung=|www= wurde 1798 in Frankreich durch Vauquelin entdeckt.|E-Gruppe=|Sonstiges-kurz=|OZ3=004|WL=Sammlung|Text= }}
[[Kategorie:Chemie]][[Kategorie:Chemikalien]]</v>
      </c>
      <c r="AS5" s="104" t="str">
        <f t="shared" si="2"/>
        <v>{{Element|Ordnungszahl=4|Symbol=Be|Name=Beryllium|Atommasse=9,012182|EN=1,5|BP=2480 °C|MP=1280 °C|Dichte=1,86 g/cm³|Ionenradius=34|Ivolt=899,51|Aradius=113,3|Enthalpie=324.3|IVolt2=1757,12|Wert=2|IVolt3=14848,87|Farbe=grau-weiß|Flamme=|Elektronenkonfiguration=[He] 2s2|EK-Wiki=[He] 2s&lt;sup&gt;2&lt;/sup&gt;|pre=Lithium|next=Bor|Metall=Metall|E-Name=Beryllium|L-Name=|Verwendung=|Wortherkunft=Die Bezeichnung Beryllium leitet sich von Beryll ab, einem Edelstein, der Beryllium enthält.|L-Abk. bzw. redirect=#REDIRECT [[Beryllium]]|radioaktiv=|hoch=Beryllium|runter=Magnesium|Bild-Element=|Bild-Verwendung=|www= wurde 1798 in Frankreich durch Vauquelin entdeckt.|E-Gruppe=|Sonstiges-kurz=|OZ3=004|WL=Sammlung|Text= }}
[[Kategorie:Chemie]][[Kategorie:Chemikalien]]</v>
      </c>
      <c r="AT5" t="str">
        <f t="shared" si="7"/>
        <v xml:space="preserve"> wurde 1798 in Frankreich durch Vauquelin entdeckt. http://www.webelements.com/webelements/elements/media/element-pics/Be.jpg</v>
      </c>
    </row>
    <row r="6" spans="1:46" ht="276">
      <c r="A6">
        <v>5</v>
      </c>
      <c r="B6" t="s">
        <v>1083</v>
      </c>
      <c r="C6" t="s">
        <v>1084</v>
      </c>
      <c r="D6">
        <v>10.811</v>
      </c>
      <c r="E6">
        <v>2</v>
      </c>
      <c r="F6" t="s">
        <v>535</v>
      </c>
      <c r="G6" t="s">
        <v>536</v>
      </c>
      <c r="H6" t="s">
        <v>451</v>
      </c>
      <c r="I6">
        <v>1808</v>
      </c>
      <c r="J6" t="s">
        <v>196</v>
      </c>
      <c r="K6" t="s">
        <v>1067</v>
      </c>
      <c r="L6">
        <v>23</v>
      </c>
      <c r="M6">
        <v>83</v>
      </c>
      <c r="N6" s="103">
        <v>800.64</v>
      </c>
      <c r="P6" t="s">
        <v>1085</v>
      </c>
      <c r="Q6" s="103">
        <v>2427.09</v>
      </c>
      <c r="R6">
        <v>3</v>
      </c>
      <c r="S6" s="103">
        <v>3659.78</v>
      </c>
      <c r="T6" t="s">
        <v>1086</v>
      </c>
      <c r="V6" t="s">
        <v>773</v>
      </c>
      <c r="W6" t="s">
        <v>888</v>
      </c>
      <c r="X6" t="str">
        <f t="shared" si="8"/>
        <v>Beryllium</v>
      </c>
      <c r="Y6" t="str">
        <f t="shared" si="3"/>
        <v>Kohlenstoff</v>
      </c>
      <c r="Z6" t="s">
        <v>991</v>
      </c>
      <c r="AA6" s="72" t="s">
        <v>1025</v>
      </c>
      <c r="AB6" s="108"/>
      <c r="AC6" s="72"/>
      <c r="AD6" s="87" t="s">
        <v>1164</v>
      </c>
      <c r="AE6" s="87" t="str">
        <f t="shared" si="9"/>
        <v>#REDIRECT [[Bor]]</v>
      </c>
      <c r="AG6" t="str">
        <f t="shared" si="10"/>
        <v>Bor</v>
      </c>
      <c r="AH6" t="str">
        <f t="shared" si="11"/>
        <v>Aluminium</v>
      </c>
      <c r="AK6" t="str">
        <f t="shared" si="4"/>
        <v xml:space="preserve"> wurde 1808 in England durch Gay-Lussac, Thénard entdeckt.</v>
      </c>
      <c r="AN6" t="str">
        <f t="shared" si="0"/>
        <v>005</v>
      </c>
      <c r="AO6" t="s">
        <v>1235</v>
      </c>
      <c r="AP6" s="87" t="str">
        <f t="shared" si="1"/>
        <v>{{Element|Ordnungszahl=5|Symbol=B|Name=Bor|Atommasse=10,811|EN=2|BP=3900 °C|MP=2030 °C|Dichte=2,46 g/cm³|Ionenradius=23|Ivolt=800,64|Aradius=83</v>
      </c>
      <c r="AQ6" s="87" t="str">
        <f t="shared" si="5"/>
        <v>|Enthalpie=562.7|IVolt2=2427,09|Wert=3|IVolt3=3659,78|Farbe=gelb-braun|Flamme=|Elektronenkonfiguration=[He] 2s2p1|EK-Wiki=[He] 2s&lt;sup&gt;2&lt;/sup&gt;p&lt;sup&gt;1&lt;/sup&gt;|pre=Beryllium|next=Kohlenstoff|Metall=Halbmetall|E-Name=Boron|L-Name=</v>
      </c>
      <c r="AR6" s="87" t="str">
        <f t="shared" si="6"/>
        <v>|Verwendung=|Wortherkunft=Borverbindungen (arabisch ''Buraq'' und lat. ''borax'' = borsaures Natron, Borax) sind seit Jahrtausenden bekannt. Im alten Ägypten nutzte man zur Mumifikation das Mineral Natron, das neben anderen Verbindungen auch Borate enthält.|L-Abk. bzw. redirect=#REDIRECT [[Bor]]|radioaktiv=|hoch=Bor|runter=Aluminium|Bild-Element=|Bild-Verwendung=|www= wurde 1808 in England durch Gay-Lussac, Thénard entdeckt.|E-Gruppe=|Sonstiges-kurz=|OZ3=005|WL=Sammlung|Text= }}
[[Kategorie:Chemie]][[Kategorie:Chemikalien]]</v>
      </c>
      <c r="AS6" s="104" t="str">
        <f t="shared" si="2"/>
        <v>{{Element|Ordnungszahl=5|Symbol=B|Name=Bor|Atommasse=10,811|EN=2|BP=3900 °C|MP=2030 °C|Dichte=2,46 g/cm³|Ionenradius=23|Ivolt=800,64|Aradius=83|Enthalpie=562.7|IVolt2=2427,09|Wert=3|IVolt3=3659,78|Farbe=gelb-braun|Flamme=|Elektronenkonfiguration=[He] 2s2p1|EK-Wiki=[He] 2s&lt;sup&gt;2&lt;/sup&gt;p&lt;sup&gt;1&lt;/sup&gt;|pre=Beryllium|next=Kohlenstoff|Metall=Halbmetall|E-Name=Boron|L-Name=|Verwendung=|Wortherkunft=Borverbindungen (arabisch ''Buraq'' und lat. ''borax'' = borsaures Natron, Borax) sind seit Jahrtausenden bekannt. Im alten Ägypten nutzte man zur Mumifikation das Mineral Natron, das neben anderen Verbindungen auch Borate enthält.|L-Abk. bzw. redirect=#REDIRECT [[Bor]]|radioaktiv=|hoch=Bor|runter=Aluminium|Bild-Element=|Bild-Verwendung=|www= wurde 1808 in England durch Gay-Lussac, Thénard entdeckt.|E-Gruppe=|Sonstiges-kurz=|OZ3=005|WL=Sammlung|Text= }}
[[Kategorie:Chemie]][[Kategorie:Chemikalien]]</v>
      </c>
      <c r="AT6" t="str">
        <f t="shared" si="7"/>
        <v xml:space="preserve"> wurde 1808 in England durch Gay-Lussac, Thénard entdeckt. http://www.webelements.com/webelements/elements/media/element-pics/B.jpg</v>
      </c>
    </row>
    <row r="7" spans="1:46" ht="276">
      <c r="A7">
        <v>6</v>
      </c>
      <c r="B7" t="s">
        <v>1087</v>
      </c>
      <c r="C7" t="s">
        <v>1088</v>
      </c>
      <c r="D7">
        <v>12.0107</v>
      </c>
      <c r="E7">
        <v>2.5</v>
      </c>
      <c r="F7" t="s">
        <v>537</v>
      </c>
      <c r="G7" t="s">
        <v>538</v>
      </c>
      <c r="H7" t="s">
        <v>452</v>
      </c>
      <c r="I7" t="s">
        <v>992</v>
      </c>
      <c r="L7">
        <v>16</v>
      </c>
      <c r="M7">
        <v>77.2</v>
      </c>
      <c r="N7" s="103">
        <v>1086.46</v>
      </c>
      <c r="P7" t="s">
        <v>1089</v>
      </c>
      <c r="Q7" s="103">
        <v>2352.65</v>
      </c>
      <c r="R7">
        <v>4</v>
      </c>
      <c r="S7" s="103">
        <v>4620.5</v>
      </c>
      <c r="T7" t="s">
        <v>1090</v>
      </c>
      <c r="V7" t="s">
        <v>774</v>
      </c>
      <c r="W7" t="s">
        <v>890</v>
      </c>
      <c r="X7" t="str">
        <f t="shared" si="8"/>
        <v>Bor</v>
      </c>
      <c r="Y7" t="str">
        <f t="shared" si="3"/>
        <v>Stickstoff</v>
      </c>
      <c r="Z7" t="s">
        <v>990</v>
      </c>
      <c r="AA7" s="72" t="s">
        <v>1031</v>
      </c>
      <c r="AB7" s="108" t="s">
        <v>1148</v>
      </c>
      <c r="AC7" s="72"/>
      <c r="AD7" s="87" t="s">
        <v>1165</v>
      </c>
      <c r="AE7" s="87" t="str">
        <f>CONCATENATE("&lt;b&gt;{{PAGENAME}}&lt;/b&gt; ist das chemische Symbol für das [[PSE|Element]] &lt;b&gt;&amp;rarr; [[",C7,"]]&lt;/b&gt;, von lateinisch ",AB7,".
[[Kategorie:Chemie]][[Kategorie:Chemikalien]]")</f>
        <v>&lt;b&gt;{{PAGENAME}}&lt;/b&gt; ist das chemische Symbol für das [[PSE|Element]] &lt;b&gt;&amp;rarr; [[Kohlenstoff]]&lt;/b&gt;, von lateinisch &lt;b&gt;&lt;i&gt;C&lt;/b&gt;arbonium&lt;/i&gt;.
[[Kategorie:Chemie]][[Kategorie:Chemikalien]]</v>
      </c>
      <c r="AG7" t="str">
        <f t="shared" si="10"/>
        <v>Kohlenstoff</v>
      </c>
      <c r="AH7" t="str">
        <f t="shared" si="11"/>
        <v>Silicium</v>
      </c>
      <c r="AK7" t="s">
        <v>1159</v>
      </c>
      <c r="AN7" t="str">
        <f t="shared" si="0"/>
        <v>006</v>
      </c>
      <c r="AO7" t="s">
        <v>1235</v>
      </c>
      <c r="AP7" s="87" t="str">
        <f t="shared" si="1"/>
        <v>{{Element|Ordnungszahl=6|Symbol=C|Name=Kohlenstoff|Atommasse=12,0107|EN=2,5|BP=4830 °C|MP=3730 °C|Dichte=3,51 g/cm³|Ionenradius=16|Ivolt=1086,46|Aradius=77,2</v>
      </c>
      <c r="AQ7" s="87" t="str">
        <f t="shared" si="5"/>
        <v>|Enthalpie=716.7|IVolt2=2352,65|Wert=4|IVolt3=4620,5|Farbe=schwarz|Flamme=|Elektronenkonfiguration=[He] 2s2p2|EK-Wiki=[He] 2s&lt;sup&gt;2&lt;/sup&gt;p&lt;sup&gt;2&lt;/sup&gt;|pre=Bor|next=Stickstoff|Metall=Nichtmetall|E-Name=Carbon|L-Name=&lt;b&gt;&lt;i&gt;C&lt;/b&gt;arbonium&lt;/i&gt;</v>
      </c>
      <c r="AR7" s="87" t="str">
        <f t="shared" si="6"/>
        <v>|Verwendung=|Wortherkunft=Wortherkunft von lat. ''carbo'' = Holzkohle.|L-Abk. bzw. redirect=&lt;b&gt;{{PAGENAME}}&lt;/b&gt; ist das chemische Symbol für das [[PSE|Element]] &lt;b&gt;&amp;rarr; [[Kohlenstoff]]&lt;/b&gt;, von lateinisch &lt;b&gt;&lt;i&gt;C&lt;/b&gt;arbonium&lt;/i&gt;.
[[Kategorie:Chemie]][[Kategorie:Chemikalien]]|radioaktiv=|hoch=Kohlenstoff|runter=Silicium|Bild-Element=|Bild-Verwendung=|www= ist seit dem Altertum bekannt.|E-Gruppe=|Sonstiges-kurz=|OZ3=006|WL=Sammlung|Text= }}
[[Kategorie:Chemie]][[Kategorie:Chemikalien]]</v>
      </c>
      <c r="AS7" s="104" t="str">
        <f t="shared" si="2"/>
        <v>{{Element|Ordnungszahl=6|Symbol=C|Name=Kohlenstoff|Atommasse=12,0107|EN=2,5|BP=4830 °C|MP=3730 °C|Dichte=3,51 g/cm³|Ionenradius=16|Ivolt=1086,46|Aradius=77,2|Enthalpie=716.7|IVolt2=2352,65|Wert=4|IVolt3=4620,5|Farbe=schwarz|Flamme=|Elektronenkonfiguration=[He] 2s2p2|EK-Wiki=[He] 2s&lt;sup&gt;2&lt;/sup&gt;p&lt;sup&gt;2&lt;/sup&gt;|pre=Bor|next=Stickstoff|Metall=Nichtmetall|E-Name=Carbon|L-Name=&lt;b&gt;&lt;i&gt;C&lt;/b&gt;arbonium&lt;/i&gt;|Verwendung=|Wortherkunft=Wortherkunft von lat. ''carbo'' = Holzkohle.|L-Abk. bzw. redirect=&lt;b&gt;{{PAGENAME}}&lt;/b&gt; ist das chemische Symbol für das [[PSE|Element]] &lt;b&gt;&amp;rarr; [[Kohlenstoff]]&lt;/b&gt;, von lateinisch &lt;b&gt;&lt;i&gt;C&lt;/b&gt;arbonium&lt;/i&gt;.
[[Kategorie:Chemie]][[Kategorie:Chemikalien]]|radioaktiv=|hoch=Kohlenstoff|runter=Silicium|Bild-Element=|Bild-Verwendung=|www= ist seit dem Altertum bekannt.|E-Gruppe=|Sonstiges-kurz=|OZ3=006|WL=Sammlung|Text= }}
[[Kategorie:Chemie]][[Kategorie:Chemikalien]]</v>
      </c>
      <c r="AT7" t="str">
        <f t="shared" si="7"/>
        <v xml:space="preserve"> ist seit dem Altertum bekannt. http://www.webelements.com/webelements/elements/media/element-pics/C.jpg</v>
      </c>
    </row>
    <row r="8" spans="1:46" ht="317.39999999999998">
      <c r="A8">
        <v>7</v>
      </c>
      <c r="B8" t="s">
        <v>1091</v>
      </c>
      <c r="C8" t="s">
        <v>1092</v>
      </c>
      <c r="D8">
        <v>14.0067</v>
      </c>
      <c r="E8">
        <v>3</v>
      </c>
      <c r="F8" t="s">
        <v>539</v>
      </c>
      <c r="G8" t="s">
        <v>540</v>
      </c>
      <c r="H8" t="s">
        <v>980</v>
      </c>
      <c r="I8">
        <v>1770</v>
      </c>
      <c r="J8" t="s">
        <v>197</v>
      </c>
      <c r="K8" t="s">
        <v>1073</v>
      </c>
      <c r="L8">
        <v>171</v>
      </c>
      <c r="M8">
        <v>71</v>
      </c>
      <c r="N8" s="103">
        <v>1402.34</v>
      </c>
      <c r="P8" t="s">
        <v>1093</v>
      </c>
      <c r="Q8" s="103">
        <v>2856.11</v>
      </c>
      <c r="R8">
        <v>2</v>
      </c>
      <c r="S8" s="103">
        <v>4578.1899999999996</v>
      </c>
      <c r="T8" t="s">
        <v>1069</v>
      </c>
      <c r="V8" t="s">
        <v>775</v>
      </c>
      <c r="W8" t="s">
        <v>892</v>
      </c>
      <c r="X8" t="str">
        <f t="shared" si="8"/>
        <v>Kohlenstoff</v>
      </c>
      <c r="Y8" t="str">
        <f>C9</f>
        <v>Sauerstoff</v>
      </c>
      <c r="Z8" t="s">
        <v>990</v>
      </c>
      <c r="AA8" s="72" t="s">
        <v>1039</v>
      </c>
      <c r="AB8" s="108" t="s">
        <v>1149</v>
      </c>
      <c r="AC8" s="72"/>
      <c r="AD8" s="87" t="s">
        <v>1243</v>
      </c>
      <c r="AE8" s="87" t="str">
        <f>CONCATENATE("&lt;b&gt;{{PAGENAME}}&lt;/b&gt; ist das chemische Symbol für das [[PSE|Element]] &lt;b&gt;&amp;rarr; [[",C8,"]]&lt;/b&gt;, von lateinisch ",AB8,".
[[Kategorie:Chemie]][[Kategorie:Chemikalien]]")</f>
        <v>&lt;b&gt;{{PAGENAME}}&lt;/b&gt; ist das chemische Symbol für das [[PSE|Element]] &lt;b&gt;&amp;rarr; [[Stickstoff]]&lt;/b&gt;, von lateinisch &lt;b&gt;&lt;i&gt;N&lt;/b&gt;itrogenium&lt;/i&gt;.
[[Kategorie:Chemie]][[Kategorie:Chemikalien]]</v>
      </c>
      <c r="AG8" t="str">
        <f t="shared" si="10"/>
        <v>Stickstoff</v>
      </c>
      <c r="AH8" t="str">
        <f t="shared" si="11"/>
        <v>Phosphor</v>
      </c>
      <c r="AK8" t="str">
        <f t="shared" si="4"/>
        <v xml:space="preserve"> wurde 1770 in Schottland durch Scheele, Rutherford entdeckt.</v>
      </c>
      <c r="AN8" t="str">
        <f t="shared" si="0"/>
        <v>007</v>
      </c>
      <c r="AO8" t="s">
        <v>1235</v>
      </c>
      <c r="AP8" s="87" t="str">
        <f t="shared" si="1"/>
        <v>{{Element|Ordnungszahl=7|Symbol=N|Name=Stickstoff|Atommasse=14,0067|EN=3|BP=-196 °C|MP=-210 °C|Dichte=1,25 g/L|Ionenradius=171|Ivolt=1402,34|Aradius=71</v>
      </c>
      <c r="AQ8" s="87" t="str">
        <f t="shared" si="5"/>
        <v>|Enthalpie=472.7|IVolt2=2856,11|Wert=2|IVolt3=4578,19|Farbe=farblos|Flamme=|Elektronenkonfiguration=[He] 2s2p3|EK-Wiki=[He] 2s&lt;sup&gt;2&lt;/sup&gt;p&lt;sup&gt;3&lt;/sup&gt;|pre=Kohlenstoff|next=Sauerstoff|Metall=Nichtmetall|E-Name=Nitrogen|L-Name=&lt;b&gt;&lt;i&gt;N&lt;/b&gt;itrogenium&lt;/i&gt;</v>
      </c>
      <c r="AR8" s="87" t="str">
        <f t="shared" si="6"/>
        <v>|Verwendung=|Wortherkunft=Das Elementsymbol N leitet sich von der lateinischen Bezeichnung nitrogenium (von altgriech. νιτρον „Laugensalz“ und altgriech. γενος „Herkunft“) ab. Die deutsche Bezeichnung Stickstoff erinnert daran, dass molekularer Stickstoff Flammen löscht („erstickt“).|L-Abk. bzw. redirect=&lt;b&gt;{{PAGENAME}}&lt;/b&gt; ist das chemische Symbol für das [[PSE|Element]] &lt;b&gt;&amp;rarr; [[Stickstoff]]&lt;/b&gt;, von lateinisch &lt;b&gt;&lt;i&gt;N&lt;/b&gt;itrogenium&lt;/i&gt;.
[[Kategorie:Chemie]][[Kategorie:Chemikalien]]|radioaktiv=|hoch=Stickstoff|runter=Phosphor|Bild-Element=|Bild-Verwendung=|www= wurde 1770 in Schottland durch Scheele, Rutherford entdeckt.|E-Gruppe=|Sonstiges-kurz=|OZ3=007|WL=Sammlung|Text= }}
[[Kategorie:Chemie]][[Kategorie:Chemikalien]]</v>
      </c>
      <c r="AS8" s="104" t="str">
        <f t="shared" si="2"/>
        <v>{{Element|Ordnungszahl=7|Symbol=N|Name=Stickstoff|Atommasse=14,0067|EN=3|BP=-196 °C|MP=-210 °C|Dichte=1,25 g/L|Ionenradius=171|Ivolt=1402,34|Aradius=71|Enthalpie=472.7|IVolt2=2856,11|Wert=2|IVolt3=4578,19|Farbe=farblos|Flamme=|Elektronenkonfiguration=[He] 2s2p3|EK-Wiki=[He] 2s&lt;sup&gt;2&lt;/sup&gt;p&lt;sup&gt;3&lt;/sup&gt;|pre=Kohlenstoff|next=Sauerstoff|Metall=Nichtmetall|E-Name=Nitrogen|L-Name=&lt;b&gt;&lt;i&gt;N&lt;/b&gt;itrogenium&lt;/i&gt;|Verwendung=|Wortherkunft=Das Elementsymbol N leitet sich von der lateinischen Bezeichnung nitrogenium (von altgriech. νιτρον „Laugensalz“ und altgriech. γενος „Herkunft“) ab. Die deutsche Bezeichnung Stickstoff erinnert daran, dass molekularer Stickstoff Flammen löscht („erstickt“).|L-Abk. bzw. redirect=&lt;b&gt;{{PAGENAME}}&lt;/b&gt; ist das chemische Symbol für das [[PSE|Element]] &lt;b&gt;&amp;rarr; [[Stickstoff]]&lt;/b&gt;, von lateinisch &lt;b&gt;&lt;i&gt;N&lt;/b&gt;itrogenium&lt;/i&gt;.
[[Kategorie:Chemie]][[Kategorie:Chemikalien]]|radioaktiv=|hoch=Stickstoff|runter=Phosphor|Bild-Element=|Bild-Verwendung=|www= wurde 1770 in Schottland durch Scheele, Rutherford entdeckt.|E-Gruppe=|Sonstiges-kurz=|OZ3=007|WL=Sammlung|Text= }}
[[Kategorie:Chemie]][[Kategorie:Chemikalien]]</v>
      </c>
      <c r="AT8" t="str">
        <f t="shared" si="7"/>
        <v xml:space="preserve"> wurde 1770 in Schottland durch Scheele, Rutherford entdeckt. http://www.webelements.com/webelements/elements/media/element-pics/N.jpg</v>
      </c>
    </row>
    <row r="9" spans="1:46" ht="303.60000000000002">
      <c r="A9">
        <v>8</v>
      </c>
      <c r="B9" t="s">
        <v>1094</v>
      </c>
      <c r="C9" t="s">
        <v>1095</v>
      </c>
      <c r="D9">
        <v>15.9994</v>
      </c>
      <c r="E9">
        <v>3.5</v>
      </c>
      <c r="F9" t="s">
        <v>541</v>
      </c>
      <c r="G9" t="s">
        <v>542</v>
      </c>
      <c r="H9" t="s">
        <v>981</v>
      </c>
      <c r="I9">
        <v>1771</v>
      </c>
      <c r="J9" t="s">
        <v>198</v>
      </c>
      <c r="K9" t="s">
        <v>1067</v>
      </c>
      <c r="L9">
        <v>132</v>
      </c>
      <c r="M9">
        <v>60.4</v>
      </c>
      <c r="N9" s="103">
        <v>1313.95</v>
      </c>
      <c r="P9" t="s">
        <v>1096</v>
      </c>
      <c r="Q9" s="103">
        <v>3388.33</v>
      </c>
      <c r="R9">
        <v>4</v>
      </c>
      <c r="S9" s="103">
        <v>5300.51</v>
      </c>
      <c r="T9" t="s">
        <v>1069</v>
      </c>
      <c r="V9" t="s">
        <v>776</v>
      </c>
      <c r="W9" t="s">
        <v>894</v>
      </c>
      <c r="X9" t="str">
        <f t="shared" si="8"/>
        <v>Stickstoff</v>
      </c>
      <c r="Y9" t="str">
        <f t="shared" si="3"/>
        <v>Fluor</v>
      </c>
      <c r="Z9" t="s">
        <v>990</v>
      </c>
      <c r="AA9" s="72" t="s">
        <v>1046</v>
      </c>
      <c r="AB9" s="108" t="s">
        <v>1150</v>
      </c>
      <c r="AC9" s="72"/>
      <c r="AD9" s="87" t="s">
        <v>1237</v>
      </c>
      <c r="AE9" s="87" t="str">
        <f>CONCATENATE("&lt;b&gt;{{PAGENAME}}&lt;/b&gt; ist das chemische Symbol für das [[PSE|Element]] &lt;b&gt;&amp;rarr; [[",C9,"]]&lt;/b&gt;, von lateinisch ",AB9,".
[[Kategorie:Chemie]][[Kategorie:Chemikalien]]")</f>
        <v>&lt;b&gt;{{PAGENAME}}&lt;/b&gt; ist das chemische Symbol für das [[PSE|Element]] &lt;b&gt;&amp;rarr; [[Sauerstoff]]&lt;/b&gt;, von lateinisch &lt;b&gt;&lt;i&gt;O&lt;/b&gt;xygenium&lt;/i&gt;.
[[Kategorie:Chemie]][[Kategorie:Chemikalien]]</v>
      </c>
      <c r="AG9" t="str">
        <f t="shared" si="10"/>
        <v>Sauerstoff</v>
      </c>
      <c r="AH9" t="str">
        <f t="shared" si="11"/>
        <v>Schwefel</v>
      </c>
      <c r="AK9" t="str">
        <f t="shared" si="4"/>
        <v xml:space="preserve"> wurde 1771 in England durch Scheele entdeckt.</v>
      </c>
      <c r="AN9" t="str">
        <f t="shared" si="0"/>
        <v>008</v>
      </c>
      <c r="AO9" t="s">
        <v>1235</v>
      </c>
      <c r="AP9" s="87" t="str">
        <f t="shared" si="1"/>
        <v>{{Element|Ordnungszahl=8|Symbol=O|Name=Sauerstoff|Atommasse=15,9994|EN=3,5|BP=-183 °C|MP=-219 °C|Dichte=1,429 g/L|Ionenradius=132|Ivolt=1313,95|Aradius=60,4</v>
      </c>
      <c r="AQ9" s="87" t="str">
        <f t="shared" si="5"/>
        <v>|Enthalpie=249.2|IVolt2=3388,33|Wert=4|IVolt3=5300,51|Farbe=farblos|Flamme=|Elektronenkonfiguration=[He] 2s2p4|EK-Wiki=[He] 2s&lt;sup&gt;2&lt;/sup&gt;p&lt;sup&gt;4&lt;/sup&gt;|pre=Stickstoff|next=Fluor|Metall=Nichtmetall|E-Name=Oxygen|L-Name=&lt;b&gt;&lt;i&gt;O&lt;/b&gt;xygenium&lt;/i&gt;</v>
      </c>
      <c r="AR9" s="87" t="str">
        <f t="shared" si="6"/>
        <v>|Verwendung=|Wortherkunft=Sauerstoff''' (auch ''Oxygenium;'' von griech. ''oxýs'' „scharf, spitz, sauer“ und ''genese'' „erzeugen“).Früher machte man den Sauerstoff für die Bildung von Säuren verantwortlich.|L-Abk. bzw. redirect=&lt;b&gt;{{PAGENAME}}&lt;/b&gt; ist das chemische Symbol für das [[PSE|Element]] &lt;b&gt;&amp;rarr; [[Sauerstoff]]&lt;/b&gt;, von lateinisch &lt;b&gt;&lt;i&gt;O&lt;/b&gt;xygenium&lt;/i&gt;.
[[Kategorie:Chemie]][[Kategorie:Chemikalien]]|radioaktiv=|hoch=Sauerstoff|runter=Schwefel|Bild-Element=|Bild-Verwendung=|www= wurde 1771 in England durch Scheele entdeckt.|E-Gruppe=|Sonstiges-kurz=|OZ3=008|WL=Sammlung|Text= }}
[[Kategorie:Chemie]][[Kategorie:Chemikalien]]</v>
      </c>
      <c r="AS9" s="104" t="str">
        <f t="shared" si="2"/>
        <v>{{Element|Ordnungszahl=8|Symbol=O|Name=Sauerstoff|Atommasse=15,9994|EN=3,5|BP=-183 °C|MP=-219 °C|Dichte=1,429 g/L|Ionenradius=132|Ivolt=1313,95|Aradius=60,4|Enthalpie=249.2|IVolt2=3388,33|Wert=4|IVolt3=5300,51|Farbe=farblos|Flamme=|Elektronenkonfiguration=[He] 2s2p4|EK-Wiki=[He] 2s&lt;sup&gt;2&lt;/sup&gt;p&lt;sup&gt;4&lt;/sup&gt;|pre=Stickstoff|next=Fluor|Metall=Nichtmetall|E-Name=Oxygen|L-Name=&lt;b&gt;&lt;i&gt;O&lt;/b&gt;xygenium&lt;/i&gt;|Verwendung=|Wortherkunft=Sauerstoff''' (auch ''Oxygenium;'' von griech. ''oxýs'' „scharf, spitz, sauer“ und ''genese'' „erzeugen“).Früher machte man den Sauerstoff für die Bildung von Säuren verantwortlich.|L-Abk. bzw. redirect=&lt;b&gt;{{PAGENAME}}&lt;/b&gt; ist das chemische Symbol für das [[PSE|Element]] &lt;b&gt;&amp;rarr; [[Sauerstoff]]&lt;/b&gt;, von lateinisch &lt;b&gt;&lt;i&gt;O&lt;/b&gt;xygenium&lt;/i&gt;.
[[Kategorie:Chemie]][[Kategorie:Chemikalien]]|radioaktiv=|hoch=Sauerstoff|runter=Schwefel|Bild-Element=|Bild-Verwendung=|www= wurde 1771 in England durch Scheele entdeckt.|E-Gruppe=|Sonstiges-kurz=|OZ3=008|WL=Sammlung|Text= }}
[[Kategorie:Chemie]][[Kategorie:Chemikalien]]</v>
      </c>
      <c r="AT9" t="str">
        <f t="shared" si="7"/>
        <v xml:space="preserve"> wurde 1771 in England durch Scheele entdeckt. http://www.webelements.com/webelements/elements/media/element-pics/O.jpg</v>
      </c>
    </row>
    <row r="10" spans="1:46" ht="262.2">
      <c r="A10">
        <v>9</v>
      </c>
      <c r="B10" t="s">
        <v>1097</v>
      </c>
      <c r="C10" t="s">
        <v>1098</v>
      </c>
      <c r="D10">
        <v>18.998403199999998</v>
      </c>
      <c r="E10">
        <v>4</v>
      </c>
      <c r="F10" t="s">
        <v>543</v>
      </c>
      <c r="G10" t="s">
        <v>544</v>
      </c>
      <c r="H10" t="s">
        <v>982</v>
      </c>
      <c r="I10">
        <v>1886</v>
      </c>
      <c r="J10" t="s">
        <v>199</v>
      </c>
      <c r="K10" t="s">
        <v>1080</v>
      </c>
      <c r="L10">
        <v>133</v>
      </c>
      <c r="M10">
        <v>70.900000000000006</v>
      </c>
      <c r="N10" s="103">
        <v>1681.06</v>
      </c>
      <c r="P10">
        <v>79</v>
      </c>
      <c r="Q10" s="103">
        <v>3374.2</v>
      </c>
      <c r="R10">
        <v>-1</v>
      </c>
      <c r="S10" s="103">
        <v>6050.48</v>
      </c>
      <c r="T10" t="s">
        <v>1099</v>
      </c>
      <c r="V10" t="s">
        <v>777</v>
      </c>
      <c r="W10" t="s">
        <v>896</v>
      </c>
      <c r="X10" t="str">
        <f t="shared" si="8"/>
        <v>Sauerstoff</v>
      </c>
      <c r="Y10" t="str">
        <f t="shared" si="3"/>
        <v>Neon</v>
      </c>
      <c r="Z10" t="s">
        <v>990</v>
      </c>
      <c r="AA10" s="72" t="s">
        <v>1047</v>
      </c>
      <c r="AB10" s="108"/>
      <c r="AC10" s="72"/>
      <c r="AD10" s="87" t="s">
        <v>1211</v>
      </c>
      <c r="AE10" s="87" t="str">
        <f t="shared" si="9"/>
        <v>#REDIRECT [[Fluor]]</v>
      </c>
      <c r="AG10" t="str">
        <f t="shared" si="10"/>
        <v>Fluor</v>
      </c>
      <c r="AH10" t="str">
        <f t="shared" si="11"/>
        <v>Chlor</v>
      </c>
      <c r="AK10" t="str">
        <f t="shared" si="4"/>
        <v xml:space="preserve"> wurde 1886 in Frankreich durch Moissan entdeckt.</v>
      </c>
      <c r="AN10" t="str">
        <f t="shared" si="0"/>
        <v>009</v>
      </c>
      <c r="AO10" t="s">
        <v>1236</v>
      </c>
      <c r="AP10" s="87" t="str">
        <f t="shared" si="1"/>
        <v>{{Element|Ordnungszahl=9|Symbol=F|Name=Fluor|Atommasse=18,9984032|EN=4|BP=-188 °C|MP=-220 °C|Dichte=1,696 g/L|Ionenradius=133|Ivolt=1681,06|Aradius=70,9</v>
      </c>
      <c r="AQ10" s="87" t="str">
        <f t="shared" si="5"/>
        <v>|Enthalpie=79|IVolt2=3374,2|Wert=-1|IVolt3=6050,48|Farbe=grün-gelb|Flamme=|Elektronenkonfiguration=[He] 2s2p5|EK-Wiki=[He] 2s&lt;sup&gt;2&lt;/sup&gt;p&lt;sup&gt;5&lt;/sup&gt;|pre=Sauerstoff|next=Neon|Metall=Nichtmetall|E-Name=Fluorine|L-Name=</v>
      </c>
      <c r="AR10" s="87" t="str">
        <f t="shared" si="6"/>
        <v>|Verwendung=|Wortherkunft=Der Name Fluor leitet sich über lateinisch fluor (= das Fließen) von Flussspat ab, dem wichtigsten Mineral, das Fluor enthält.|L-Abk. bzw. redirect=#REDIRECT [[Fluor]]|radioaktiv=|hoch=Fluor|runter=Chlor|Bild-Element=|Bild-Verwendung=|www= wurde 1886 in Frankreich durch Moissan entdeckt.|E-Gruppe=|Sonstiges-kurz=|OZ3=009|WL=nichda|Text= }}
[[Kategorie:Chemie]][[Kategorie:Chemikalien]]</v>
      </c>
      <c r="AS10" s="104" t="str">
        <f t="shared" si="2"/>
        <v>{{Element|Ordnungszahl=9|Symbol=F|Name=Fluor|Atommasse=18,9984032|EN=4|BP=-188 °C|MP=-220 °C|Dichte=1,696 g/L|Ionenradius=133|Ivolt=1681,06|Aradius=70,9|Enthalpie=79|IVolt2=3374,2|Wert=-1|IVolt3=6050,48|Farbe=grün-gelb|Flamme=|Elektronenkonfiguration=[He] 2s2p5|EK-Wiki=[He] 2s&lt;sup&gt;2&lt;/sup&gt;p&lt;sup&gt;5&lt;/sup&gt;|pre=Sauerstoff|next=Neon|Metall=Nichtmetall|E-Name=Fluorine|L-Name=|Verwendung=|Wortherkunft=Der Name Fluor leitet sich über lateinisch fluor (= das Fließen) von Flussspat ab, dem wichtigsten Mineral, das Fluor enthält.|L-Abk. bzw. redirect=#REDIRECT [[Fluor]]|radioaktiv=|hoch=Fluor|runter=Chlor|Bild-Element=|Bild-Verwendung=|www= wurde 1886 in Frankreich durch Moissan entdeckt.|E-Gruppe=|Sonstiges-kurz=|OZ3=009|WL=nichda|Text= }}
[[Kategorie:Chemie]][[Kategorie:Chemikalien]]</v>
      </c>
      <c r="AT10" t="str">
        <f t="shared" si="7"/>
        <v xml:space="preserve"> wurde 1886 in Frankreich durch Moissan entdeckt. http://www.webelements.com/webelements/elements/media/element-pics/F.jpg</v>
      </c>
    </row>
    <row r="11" spans="1:46" ht="248.4">
      <c r="A11">
        <v>10</v>
      </c>
      <c r="B11" t="s">
        <v>1100</v>
      </c>
      <c r="C11" t="s">
        <v>1101</v>
      </c>
      <c r="D11">
        <v>20.1797</v>
      </c>
      <c r="E11">
        <v>0</v>
      </c>
      <c r="F11" t="s">
        <v>545</v>
      </c>
      <c r="G11" t="s">
        <v>546</v>
      </c>
      <c r="H11" t="s">
        <v>983</v>
      </c>
      <c r="I11">
        <v>1898</v>
      </c>
      <c r="J11" t="s">
        <v>193</v>
      </c>
      <c r="K11" t="s">
        <v>1067</v>
      </c>
      <c r="L11" t="s">
        <v>1068</v>
      </c>
      <c r="M11">
        <v>160</v>
      </c>
      <c r="N11" s="103">
        <v>2080.6799999999998</v>
      </c>
      <c r="P11">
        <v>0</v>
      </c>
      <c r="Q11" s="103">
        <v>3952.38</v>
      </c>
      <c r="R11" t="s">
        <v>1068</v>
      </c>
      <c r="S11" s="103">
        <v>6122.04</v>
      </c>
      <c r="T11" t="s">
        <v>1069</v>
      </c>
      <c r="V11" t="s">
        <v>778</v>
      </c>
      <c r="W11" t="s">
        <v>898</v>
      </c>
      <c r="X11" t="str">
        <f t="shared" si="8"/>
        <v>Fluor</v>
      </c>
      <c r="Y11" t="str">
        <f t="shared" si="3"/>
        <v>Natrium</v>
      </c>
      <c r="Z11" t="s">
        <v>990</v>
      </c>
      <c r="AA11" s="72" t="s">
        <v>1101</v>
      </c>
      <c r="AB11" s="108"/>
      <c r="AC11" s="72"/>
      <c r="AD11" s="87" t="s">
        <v>1213</v>
      </c>
      <c r="AE11" s="87" t="str">
        <f t="shared" si="9"/>
        <v>#REDIRECT [[Neon]]</v>
      </c>
      <c r="AG11" t="s">
        <v>1072</v>
      </c>
      <c r="AH11" t="str">
        <f t="shared" si="11"/>
        <v>Argon</v>
      </c>
      <c r="AK11" t="str">
        <f t="shared" si="4"/>
        <v xml:space="preserve"> wurde 1898 in England durch Ramsay entdeckt.</v>
      </c>
      <c r="AN11" t="str">
        <f t="shared" ref="AN11:AN42" si="12">CONCATENATE("0",A11,)</f>
        <v>010</v>
      </c>
      <c r="AO11" t="s">
        <v>1236</v>
      </c>
      <c r="AP11" s="87" t="str">
        <f t="shared" si="1"/>
        <v>{{Element|Ordnungszahl=10|Symbol=Ne|Name=Neon|Atommasse=20,1797|EN=0|BP=-246 °C|MP=-249 °C|Dichte=0,9 g/L|Ionenradius=-|Ivolt=2080,68|Aradius=160</v>
      </c>
      <c r="AQ11" s="87" t="str">
        <f t="shared" si="5"/>
        <v>|Enthalpie=0|IVolt2=3952,38|Wert=-|IVolt3=6122,04|Farbe=farblos|Flamme=|Elektronenkonfiguration=[He] 2s2p6|EK-Wiki=[He] 2s&lt;sup&gt;2&lt;/sup&gt;p&lt;sup&gt;6&lt;/sup&gt;|pre=Fluor|next=Natrium|Metall=Nichtmetall|E-Name=Neon|L-Name=</v>
      </c>
      <c r="AR11" s="87" t="str">
        <f t="shared" si="6"/>
        <v>|Verwendung=|Wortherkunft=Neon (von altgriech. νέος = neu). Neon (griechisch ''neos'' für neu) |L-Abk. bzw. redirect=#REDIRECT [[Neon]]|radioaktiv=|hoch=Helium|runter=Argon|Bild-Element=|Bild-Verwendung=|www= wurde 1898 in England durch Ramsay entdeckt.|E-Gruppe=|Sonstiges-kurz=|OZ3=010|WL=nichda|Text= }}
[[Kategorie:Chemie]][[Kategorie:Chemikalien]]</v>
      </c>
      <c r="AS11" s="104" t="str">
        <f t="shared" si="2"/>
        <v>{{Element|Ordnungszahl=10|Symbol=Ne|Name=Neon|Atommasse=20,1797|EN=0|BP=-246 °C|MP=-249 °C|Dichte=0,9 g/L|Ionenradius=-|Ivolt=2080,68|Aradius=160|Enthalpie=0|IVolt2=3952,38|Wert=-|IVolt3=6122,04|Farbe=farblos|Flamme=|Elektronenkonfiguration=[He] 2s2p6|EK-Wiki=[He] 2s&lt;sup&gt;2&lt;/sup&gt;p&lt;sup&gt;6&lt;/sup&gt;|pre=Fluor|next=Natrium|Metall=Nichtmetall|E-Name=Neon|L-Name=|Verwendung=|Wortherkunft=Neon (von altgriech. νέος = neu). Neon (griechisch ''neos'' für neu) |L-Abk. bzw. redirect=#REDIRECT [[Neon]]|radioaktiv=|hoch=Helium|runter=Argon|Bild-Element=|Bild-Verwendung=|www= wurde 1898 in England durch Ramsay entdeckt.|E-Gruppe=|Sonstiges-kurz=|OZ3=010|WL=nichda|Text= }}
[[Kategorie:Chemie]][[Kategorie:Chemikalien]]</v>
      </c>
      <c r="AT11" t="str">
        <f t="shared" si="7"/>
        <v xml:space="preserve"> wurde 1898 in England durch Ramsay entdeckt. http://www.webelements.com/webelements/elements/media/element-pics/Ne.jpg</v>
      </c>
    </row>
    <row r="12" spans="1:46" ht="289.8">
      <c r="A12">
        <v>11</v>
      </c>
      <c r="B12" t="s">
        <v>1102</v>
      </c>
      <c r="C12" t="s">
        <v>1103</v>
      </c>
      <c r="D12">
        <v>22.98977</v>
      </c>
      <c r="E12">
        <v>0.9</v>
      </c>
      <c r="F12" t="s">
        <v>547</v>
      </c>
      <c r="G12" t="s">
        <v>548</v>
      </c>
      <c r="H12" t="s">
        <v>733</v>
      </c>
      <c r="I12">
        <v>1807</v>
      </c>
      <c r="J12" t="s">
        <v>200</v>
      </c>
      <c r="K12" t="s">
        <v>1067</v>
      </c>
      <c r="L12">
        <v>98</v>
      </c>
      <c r="M12">
        <v>153.69999999999999</v>
      </c>
      <c r="N12" s="103">
        <v>495.85</v>
      </c>
      <c r="P12" t="s">
        <v>1104</v>
      </c>
      <c r="Q12" s="103">
        <v>4562.4799999999996</v>
      </c>
      <c r="R12">
        <v>1</v>
      </c>
      <c r="S12" s="103">
        <v>6910.33</v>
      </c>
      <c r="T12" t="s">
        <v>1229</v>
      </c>
      <c r="U12" t="s">
        <v>1105</v>
      </c>
      <c r="V12" t="s">
        <v>779</v>
      </c>
      <c r="W12" t="s">
        <v>874</v>
      </c>
      <c r="X12" t="str">
        <f t="shared" si="8"/>
        <v>Neon</v>
      </c>
      <c r="Y12" t="str">
        <f t="shared" si="3"/>
        <v>Magnesium</v>
      </c>
      <c r="Z12" t="s">
        <v>989</v>
      </c>
      <c r="AA12" s="72" t="s">
        <v>1052</v>
      </c>
      <c r="AB12" s="108"/>
      <c r="AC12" s="72"/>
      <c r="AD12" s="87" t="s">
        <v>1214</v>
      </c>
      <c r="AE12" s="87" t="str">
        <f t="shared" si="9"/>
        <v>#REDIRECT [[Natrium]]</v>
      </c>
      <c r="AG12" t="s">
        <v>1075</v>
      </c>
      <c r="AH12" t="str">
        <f t="shared" si="11"/>
        <v>Kalium</v>
      </c>
      <c r="AK12" t="str">
        <f t="shared" si="4"/>
        <v xml:space="preserve"> wurde 1807 in England durch Davy entdeckt.</v>
      </c>
      <c r="AN12" t="str">
        <f t="shared" si="12"/>
        <v>011</v>
      </c>
      <c r="AO12" t="s">
        <v>1235</v>
      </c>
      <c r="AP12" s="87" t="str">
        <f t="shared" si="1"/>
        <v>{{Element|Ordnungszahl=11|Symbol=Na|Name=Natrium|Atommasse=22,98977|EN=0,9|BP=892 °C|MP=98 °C|Dichte=0,971 g/cm³|Ionenradius=98|Ivolt=495,85|Aradius=153,7</v>
      </c>
      <c r="AQ12" s="87" t="str">
        <f t="shared" si="5"/>
        <v>|Enthalpie=107.3|IVolt2=4562,48|Wert=1|IVolt3=6910,33|Farbe=silbrig-weiß|Flamme=gelb|Elektronenkonfiguration=[Ne] 3s1|EK-Wiki=[Ne] 3s&lt;sup&gt;1&lt;/sup&gt;|pre=Neon|next=Magnesium|Metall=Metall|E-Name=Sodium|L-Name=</v>
      </c>
      <c r="AR12" s="87" t="str">
        <f t="shared" si="6"/>
        <v>|Verwendung=|Wortherkunft=Natrium (von Ägyptische Sprache|ägypt. ''netjer'' = Natron aus Arabische Sprache|arab. ''natrun'' = Natron, da Natrium den Hauptbestandteil von Natron bildet, veraltete und englisch-französische Bezeichnung ''Sodium'')|L-Abk. bzw. redirect=#REDIRECT [[Natrium]]|radioaktiv=|hoch=Lithium|runter=Kalium|Bild-Element=|Bild-Verwendung=|www= wurde 1807 in England durch Davy entdeckt.|E-Gruppe=|Sonstiges-kurz=|OZ3=011|WL=Sammlung|Text= }}
[[Kategorie:Chemie]][[Kategorie:Chemikalien]]</v>
      </c>
      <c r="AS12" s="104" t="str">
        <f t="shared" si="2"/>
        <v>{{Element|Ordnungszahl=11|Symbol=Na|Name=Natrium|Atommasse=22,98977|EN=0,9|BP=892 °C|MP=98 °C|Dichte=0,971 g/cm³|Ionenradius=98|Ivolt=495,85|Aradius=153,7|Enthalpie=107.3|IVolt2=4562,48|Wert=1|IVolt3=6910,33|Farbe=silbrig-weiß|Flamme=gelb|Elektronenkonfiguration=[Ne] 3s1|EK-Wiki=[Ne] 3s&lt;sup&gt;1&lt;/sup&gt;|pre=Neon|next=Magnesium|Metall=Metall|E-Name=Sodium|L-Name=|Verwendung=|Wortherkunft=Natrium (von Ägyptische Sprache|ägypt. ''netjer'' = Natron aus Arabische Sprache|arab. ''natrun'' = Natron, da Natrium den Hauptbestandteil von Natron bildet, veraltete und englisch-französische Bezeichnung ''Sodium'')|L-Abk. bzw. redirect=#REDIRECT [[Natrium]]|radioaktiv=|hoch=Lithium|runter=Kalium|Bild-Element=|Bild-Verwendung=|www= wurde 1807 in England durch Davy entdeckt.|E-Gruppe=|Sonstiges-kurz=|OZ3=011|WL=Sammlung|Text= }}
[[Kategorie:Chemie]][[Kategorie:Chemikalien]]</v>
      </c>
      <c r="AT12" t="str">
        <f t="shared" si="7"/>
        <v xml:space="preserve"> wurde 1807 in England durch Davy entdeckt. http://www.webelements.com/webelements/elements/media/element-pics/Na.jpg</v>
      </c>
    </row>
    <row r="13" spans="1:46" ht="276">
      <c r="A13">
        <v>12</v>
      </c>
      <c r="B13" t="s">
        <v>1106</v>
      </c>
      <c r="C13" t="s">
        <v>1107</v>
      </c>
      <c r="D13">
        <v>24.305</v>
      </c>
      <c r="E13">
        <v>1.2</v>
      </c>
      <c r="F13" t="s">
        <v>549</v>
      </c>
      <c r="G13" t="s">
        <v>550</v>
      </c>
      <c r="H13" t="s">
        <v>738</v>
      </c>
      <c r="I13">
        <v>1831</v>
      </c>
      <c r="J13" t="s">
        <v>201</v>
      </c>
      <c r="K13" t="s">
        <v>1073</v>
      </c>
      <c r="L13">
        <v>78</v>
      </c>
      <c r="M13">
        <v>160</v>
      </c>
      <c r="N13" s="103">
        <v>737.76</v>
      </c>
      <c r="P13" t="s">
        <v>1108</v>
      </c>
      <c r="Q13" s="103">
        <v>1450.69</v>
      </c>
      <c r="R13">
        <v>2</v>
      </c>
      <c r="S13" s="103">
        <v>7732.75</v>
      </c>
      <c r="T13" t="s">
        <v>1082</v>
      </c>
      <c r="U13" t="s">
        <v>1109</v>
      </c>
      <c r="V13" t="s">
        <v>780</v>
      </c>
      <c r="W13" t="s">
        <v>882</v>
      </c>
      <c r="X13" t="str">
        <f t="shared" si="8"/>
        <v>Natrium</v>
      </c>
      <c r="Y13" t="str">
        <f t="shared" si="3"/>
        <v>Aluminium</v>
      </c>
      <c r="Z13" t="s">
        <v>989</v>
      </c>
      <c r="AA13" s="72" t="s">
        <v>1107</v>
      </c>
      <c r="AB13" s="108"/>
      <c r="AC13" s="72"/>
      <c r="AD13" s="87" t="s">
        <v>1219</v>
      </c>
      <c r="AE13" s="87" t="str">
        <f t="shared" si="9"/>
        <v>#REDIRECT [[Magnesium]]</v>
      </c>
      <c r="AG13" t="str">
        <f>C5</f>
        <v>Beryllium</v>
      </c>
      <c r="AH13" t="str">
        <f t="shared" si="11"/>
        <v>Calcium</v>
      </c>
      <c r="AK13" t="str">
        <f t="shared" si="4"/>
        <v xml:space="preserve"> wurde 1831 in Schottland durch Davy,Bussy entdeckt.</v>
      </c>
      <c r="AN13" t="str">
        <f t="shared" si="12"/>
        <v>012</v>
      </c>
      <c r="AO13" t="s">
        <v>1235</v>
      </c>
      <c r="AP13" s="87" t="str">
        <f t="shared" si="1"/>
        <v>{{Element|Ordnungszahl=12|Symbol=Mg|Name=Magnesium|Atommasse=24,305|EN=1,2|BP=1110 °C|MP=650 °C|Dichte=1,75 g/cm³|Ionenradius=78|Ivolt=737,76|Aradius=160</v>
      </c>
      <c r="AQ13" s="87" t="str">
        <f t="shared" si="5"/>
        <v>|Enthalpie=147.7|IVolt2=1450,69|Wert=2|IVolt3=7732,75|Farbe=grau-weiß|Flamme=weiß|Elektronenkonfiguration=[Ne] 3s2|EK-Wiki=[Ne] 3s&lt;sup&gt;2&lt;/sup&gt;|pre=Natrium|next=Aluminium|Metall=Metall|E-Name=Magnesium|L-Name=</v>
      </c>
      <c r="AR13" s="87" t="str">
        <f t="shared" si="6"/>
        <v>|Verwendung=|Wortherkunft= 1. von griech. Magnetstein, 2. von Magnesia (Griechenland), einem Gebiet im östlichen Griechenland und 3.  von Magnesia, einer Stadt in Kleinasien, auf dem Gebiet der heutigen Türkei.|L-Abk. bzw. redirect=#REDIRECT [[Magnesium]]|radioaktiv=|hoch=Beryllium|runter=Calcium|Bild-Element=|Bild-Verwendung=|www= wurde 1831 in Schottland durch Davy,Bussy entdeckt.|E-Gruppe=|Sonstiges-kurz=|OZ3=012|WL=Sammlung|Text= }}
[[Kategorie:Chemie]][[Kategorie:Chemikalien]]</v>
      </c>
      <c r="AS13" s="104" t="str">
        <f t="shared" si="2"/>
        <v>{{Element|Ordnungszahl=12|Symbol=Mg|Name=Magnesium|Atommasse=24,305|EN=1,2|BP=1110 °C|MP=650 °C|Dichte=1,75 g/cm³|Ionenradius=78|Ivolt=737,76|Aradius=160|Enthalpie=147.7|IVolt2=1450,69|Wert=2|IVolt3=7732,75|Farbe=grau-weiß|Flamme=weiß|Elektronenkonfiguration=[Ne] 3s2|EK-Wiki=[Ne] 3s&lt;sup&gt;2&lt;/sup&gt;|pre=Natrium|next=Aluminium|Metall=Metall|E-Name=Magnesium|L-Name=|Verwendung=|Wortherkunft= 1. von griech. Magnetstein, 2. von Magnesia (Griechenland), einem Gebiet im östlichen Griechenland und 3.  von Magnesia, einer Stadt in Kleinasien, auf dem Gebiet der heutigen Türkei.|L-Abk. bzw. redirect=#REDIRECT [[Magnesium]]|radioaktiv=|hoch=Beryllium|runter=Calcium|Bild-Element=|Bild-Verwendung=|www= wurde 1831 in Schottland durch Davy,Bussy entdeckt.|E-Gruppe=|Sonstiges-kurz=|OZ3=012|WL=Sammlung|Text= }}
[[Kategorie:Chemie]][[Kategorie:Chemikalien]]</v>
      </c>
      <c r="AT13" t="str">
        <f t="shared" si="7"/>
        <v xml:space="preserve"> wurde 1831 in Schottland durch Davy,Bussy entdeckt. http://www.webelements.com/webelements/elements/media/element-pics/Mg.jpg</v>
      </c>
    </row>
    <row r="14" spans="1:46" ht="234.6">
      <c r="A14">
        <v>13</v>
      </c>
      <c r="B14" t="s">
        <v>1110</v>
      </c>
      <c r="C14" t="s">
        <v>1111</v>
      </c>
      <c r="D14">
        <v>26.981538</v>
      </c>
      <c r="E14">
        <v>1.5</v>
      </c>
      <c r="F14" t="s">
        <v>551</v>
      </c>
      <c r="G14" t="s">
        <v>552</v>
      </c>
      <c r="H14" t="s">
        <v>453</v>
      </c>
      <c r="I14">
        <v>1825</v>
      </c>
      <c r="J14" t="s">
        <v>202</v>
      </c>
      <c r="K14" t="s">
        <v>1112</v>
      </c>
      <c r="L14">
        <v>57</v>
      </c>
      <c r="M14">
        <v>143.1</v>
      </c>
      <c r="N14" s="103">
        <v>577.54</v>
      </c>
      <c r="P14" t="s">
        <v>1113</v>
      </c>
      <c r="Q14" s="103">
        <v>1816.69</v>
      </c>
      <c r="R14">
        <v>3</v>
      </c>
      <c r="S14" s="103">
        <v>2744.8</v>
      </c>
      <c r="T14" t="s">
        <v>1227</v>
      </c>
      <c r="V14" t="s">
        <v>781</v>
      </c>
      <c r="W14" t="s">
        <v>889</v>
      </c>
      <c r="X14" t="str">
        <f t="shared" si="8"/>
        <v>Magnesium</v>
      </c>
      <c r="Y14" t="str">
        <f t="shared" si="3"/>
        <v>Silicium</v>
      </c>
      <c r="Z14" t="s">
        <v>989</v>
      </c>
      <c r="AA14" s="72" t="s">
        <v>1111</v>
      </c>
      <c r="AB14" s="108"/>
      <c r="AC14" s="72"/>
      <c r="AD14" s="87" t="s">
        <v>1215</v>
      </c>
      <c r="AE14" s="87" t="str">
        <f t="shared" si="9"/>
        <v>#REDIRECT [[Aluminium]]</v>
      </c>
      <c r="AG14" t="s">
        <v>1084</v>
      </c>
      <c r="AH14" t="str">
        <f t="shared" ref="AH14:AH40" si="13">C32</f>
        <v>Gallium</v>
      </c>
      <c r="AK14" t="str">
        <f t="shared" si="4"/>
        <v xml:space="preserve"> wurde 1825 in Dänemark durch Oersted entdeckt.</v>
      </c>
      <c r="AN14" t="str">
        <f t="shared" si="12"/>
        <v>013</v>
      </c>
      <c r="AO14" t="s">
        <v>1235</v>
      </c>
      <c r="AP14" s="87" t="str">
        <f t="shared" si="1"/>
        <v>{{Element|Ordnungszahl=13|Symbol=Al|Name=Aluminium|Atommasse=26,981538|EN=1,5|BP=2450 °C|MP=660 °C|Dichte=2,70 g/cm³|Ionenradius=57|Ivolt=577,54|Aradius=143,1</v>
      </c>
      <c r="AQ14" s="87" t="str">
        <f t="shared" si="5"/>
        <v>|Enthalpie=326.4|IVolt2=1816,69|Wert=3|IVolt3=2744,8|Farbe=silbrig|Flamme=|Elektronenkonfiguration=[Ne] 3s2p1|EK-Wiki=[Ne] 3s&lt;sup&gt;2&lt;/sup&gt;p&lt;sup&gt;1&lt;/sup&gt;|pre=Magnesium|next=Silicium|Metall=Metall|E-Name=Aluminium|L-Name=</v>
      </c>
      <c r="AR14" s="87" t="str">
        <f t="shared" si="6"/>
        <v>|Verwendung=|Wortherkunft=Aluminium hat seinen Namen vom lateinischen Wort alumen (= Alaun).|L-Abk. bzw. redirect=#REDIRECT [[Aluminium]]|radioaktiv=|hoch=Bor|runter=Gallium|Bild-Element=|Bild-Verwendung=|www= wurde 1825 in Dänemark durch Oersted entdeckt.|E-Gruppe=|Sonstiges-kurz=|OZ3=013|WL=Sammlung|Text= }}
[[Kategorie:Chemie]][[Kategorie:Chemikalien]]</v>
      </c>
      <c r="AS14" s="104" t="str">
        <f t="shared" si="2"/>
        <v>{{Element|Ordnungszahl=13|Symbol=Al|Name=Aluminium|Atommasse=26,981538|EN=1,5|BP=2450 °C|MP=660 °C|Dichte=2,70 g/cm³|Ionenradius=57|Ivolt=577,54|Aradius=143,1|Enthalpie=326.4|IVolt2=1816,69|Wert=3|IVolt3=2744,8|Farbe=silbrig|Flamme=|Elektronenkonfiguration=[Ne] 3s2p1|EK-Wiki=[Ne] 3s&lt;sup&gt;2&lt;/sup&gt;p&lt;sup&gt;1&lt;/sup&gt;|pre=Magnesium|next=Silicium|Metall=Metall|E-Name=Aluminium|L-Name=|Verwendung=|Wortherkunft=Aluminium hat seinen Namen vom lateinischen Wort alumen (= Alaun).|L-Abk. bzw. redirect=#REDIRECT [[Aluminium]]|radioaktiv=|hoch=Bor|runter=Gallium|Bild-Element=|Bild-Verwendung=|www= wurde 1825 in Dänemark durch Oersted entdeckt.|E-Gruppe=|Sonstiges-kurz=|OZ3=013|WL=Sammlung|Text= }}
[[Kategorie:Chemie]][[Kategorie:Chemikalien]]</v>
      </c>
      <c r="AT14" t="str">
        <f t="shared" si="7"/>
        <v xml:space="preserve"> wurde 1825 in Dänemark durch Oersted entdeckt. http://www.webelements.com/webelements/elements/media/element-pics/Al.jpg</v>
      </c>
    </row>
    <row r="15" spans="1:46" ht="276">
      <c r="A15">
        <v>14</v>
      </c>
      <c r="B15" t="s">
        <v>1114</v>
      </c>
      <c r="C15" t="s">
        <v>1115</v>
      </c>
      <c r="D15">
        <v>28.0855</v>
      </c>
      <c r="E15">
        <v>1.8</v>
      </c>
      <c r="F15" t="s">
        <v>553</v>
      </c>
      <c r="G15" t="s">
        <v>554</v>
      </c>
      <c r="H15" t="s">
        <v>454</v>
      </c>
      <c r="I15">
        <v>1823</v>
      </c>
      <c r="J15" t="s">
        <v>178</v>
      </c>
      <c r="K15" t="s">
        <v>1076</v>
      </c>
      <c r="L15">
        <v>26</v>
      </c>
      <c r="M15">
        <v>117</v>
      </c>
      <c r="N15" s="103">
        <v>786.52</v>
      </c>
      <c r="P15" t="s">
        <v>1116</v>
      </c>
      <c r="Q15" s="103">
        <v>1577.15</v>
      </c>
      <c r="R15">
        <v>4</v>
      </c>
      <c r="S15" s="103">
        <v>3231.61</v>
      </c>
      <c r="T15" t="s">
        <v>1117</v>
      </c>
      <c r="V15" t="s">
        <v>782</v>
      </c>
      <c r="W15" t="s">
        <v>891</v>
      </c>
      <c r="X15" t="str">
        <f t="shared" si="8"/>
        <v>Aluminium</v>
      </c>
      <c r="Y15" t="str">
        <f t="shared" si="3"/>
        <v>Phosphor</v>
      </c>
      <c r="Z15" t="s">
        <v>991</v>
      </c>
      <c r="AA15" s="72" t="s">
        <v>1033</v>
      </c>
      <c r="AB15" s="108"/>
      <c r="AC15" s="72"/>
      <c r="AD15" s="87" t="s">
        <v>1222</v>
      </c>
      <c r="AE15" s="87" t="str">
        <f t="shared" si="9"/>
        <v>#REDIRECT [[Silicium]]</v>
      </c>
      <c r="AG15" t="str">
        <f>C7</f>
        <v>Kohlenstoff</v>
      </c>
      <c r="AH15" t="str">
        <f t="shared" si="13"/>
        <v>Germanium</v>
      </c>
      <c r="AK15" t="str">
        <f t="shared" si="4"/>
        <v xml:space="preserve"> wurde 1823 in Schweden durch Berzelius entdeckt.</v>
      </c>
      <c r="AN15" t="str">
        <f t="shared" si="12"/>
        <v>014</v>
      </c>
      <c r="AO15" t="s">
        <v>1235</v>
      </c>
      <c r="AP15" s="87" t="str">
        <f t="shared" si="1"/>
        <v>{{Element|Ordnungszahl=14|Symbol=Si|Name=Silicium|Atommasse=28,0855|EN=1,8|BP=2680 °C|MP=1410 °C|Dichte=2,33 g/cm³|Ionenradius=26|Ivolt=786,52|Aradius=117</v>
      </c>
      <c r="AQ15" s="87" t="str">
        <f t="shared" si="5"/>
        <v>|Enthalpie=455.6|IVolt2=1577,15|Wert=4|IVolt3=3231,61|Farbe=dunkelgrau|Flamme=|Elektronenkonfiguration=[Ne] 3s2p2|EK-Wiki=[Ne] 3s&lt;sup&gt;2&lt;/sup&gt;p&lt;sup&gt;2&lt;/sup&gt;|pre=Aluminium|next=Phosphor|Metall=Halbmetall|E-Name=Silicon|L-Name=</v>
      </c>
      <c r="AR15" s="87" t="str">
        <f t="shared" si="6"/>
        <v>|Verwendung=|Wortherkunft=er Begriff Silizium leitet sich vom lateinischen Wort ''silex'' (Kieselstein, Feuerstein) ab. Er bringt zum Ausdruck, dass Silizium häufiger Bestandteil vieler Minerale ist.|L-Abk. bzw. redirect=#REDIRECT [[Silicium]]|radioaktiv=|hoch=Kohlenstoff|runter=Germanium|Bild-Element=|Bild-Verwendung=|www= wurde 1823 in Schweden durch Berzelius entdeckt.|E-Gruppe=|Sonstiges-kurz=|OZ3=014|WL=Sammlung|Text= }}
[[Kategorie:Chemie]][[Kategorie:Chemikalien]]</v>
      </c>
      <c r="AS15" s="104" t="str">
        <f t="shared" si="2"/>
        <v>{{Element|Ordnungszahl=14|Symbol=Si|Name=Silicium|Atommasse=28,0855|EN=1,8|BP=2680 °C|MP=1410 °C|Dichte=2,33 g/cm³|Ionenradius=26|Ivolt=786,52|Aradius=117|Enthalpie=455.6|IVolt2=1577,15|Wert=4|IVolt3=3231,61|Farbe=dunkelgrau|Flamme=|Elektronenkonfiguration=[Ne] 3s2p2|EK-Wiki=[Ne] 3s&lt;sup&gt;2&lt;/sup&gt;p&lt;sup&gt;2&lt;/sup&gt;|pre=Aluminium|next=Phosphor|Metall=Halbmetall|E-Name=Silicon|L-Name=|Verwendung=|Wortherkunft=er Begriff Silizium leitet sich vom lateinischen Wort ''silex'' (Kieselstein, Feuerstein) ab. Er bringt zum Ausdruck, dass Silizium häufiger Bestandteil vieler Minerale ist.|L-Abk. bzw. redirect=#REDIRECT [[Silicium]]|radioaktiv=|hoch=Kohlenstoff|runter=Germanium|Bild-Element=|Bild-Verwendung=|www= wurde 1823 in Schweden durch Berzelius entdeckt.|E-Gruppe=|Sonstiges-kurz=|OZ3=014|WL=Sammlung|Text= }}
[[Kategorie:Chemie]][[Kategorie:Chemikalien]]</v>
      </c>
      <c r="AT15" t="str">
        <f t="shared" si="7"/>
        <v xml:space="preserve"> wurde 1823 in Schweden durch Berzelius entdeckt. http://www.webelements.com/webelements/elements/media/element-pics/Si.jpg</v>
      </c>
    </row>
    <row r="16" spans="1:46" ht="289.8">
      <c r="A16">
        <v>15</v>
      </c>
      <c r="B16" t="s">
        <v>1118</v>
      </c>
      <c r="C16" t="s">
        <v>1119</v>
      </c>
      <c r="D16">
        <v>30.973761</v>
      </c>
      <c r="E16">
        <v>2.1</v>
      </c>
      <c r="F16" t="s">
        <v>555</v>
      </c>
      <c r="G16" t="s">
        <v>556</v>
      </c>
      <c r="H16" t="s">
        <v>455</v>
      </c>
      <c r="I16">
        <v>1669</v>
      </c>
      <c r="J16" t="s">
        <v>203</v>
      </c>
      <c r="K16" t="s">
        <v>1120</v>
      </c>
      <c r="L16">
        <v>44</v>
      </c>
      <c r="M16">
        <v>93</v>
      </c>
      <c r="N16" s="103">
        <v>1011.82</v>
      </c>
      <c r="P16" t="s">
        <v>1121</v>
      </c>
      <c r="Q16" s="103">
        <v>1907.47</v>
      </c>
      <c r="R16">
        <v>2</v>
      </c>
      <c r="S16" s="103">
        <v>2914.14</v>
      </c>
      <c r="T16" t="s">
        <v>1122</v>
      </c>
      <c r="V16" t="s">
        <v>783</v>
      </c>
      <c r="W16" t="s">
        <v>893</v>
      </c>
      <c r="X16" t="str">
        <f t="shared" si="8"/>
        <v>Silicium</v>
      </c>
      <c r="Y16" t="str">
        <f t="shared" si="3"/>
        <v>Schwefel</v>
      </c>
      <c r="Z16" t="s">
        <v>990</v>
      </c>
      <c r="AA16" s="72" t="s">
        <v>1048</v>
      </c>
      <c r="AB16" s="108"/>
      <c r="AC16" s="72"/>
      <c r="AD16" s="88" t="s">
        <v>1216</v>
      </c>
      <c r="AE16" s="87" t="str">
        <f t="shared" si="9"/>
        <v>#REDIRECT [[Phosphor]]</v>
      </c>
      <c r="AG16" t="str">
        <f>C8</f>
        <v>Stickstoff</v>
      </c>
      <c r="AH16" t="str">
        <f t="shared" si="13"/>
        <v>Arsen</v>
      </c>
      <c r="AK16" t="str">
        <f t="shared" si="4"/>
        <v xml:space="preserve"> wurde 1669 in Deutschland durch Brand entdeckt.</v>
      </c>
      <c r="AN16" t="str">
        <f t="shared" si="12"/>
        <v>015</v>
      </c>
      <c r="AO16" t="s">
        <v>1235</v>
      </c>
      <c r="AP16" s="87" t="str">
        <f t="shared" si="1"/>
        <v>{{Element|Ordnungszahl=15|Symbol=P|Name=Phosphor|Atommasse=30,973761|EN=2,1|BP=280 °C|MP=44 °C|Dichte=1,82 g/cm³|Ionenradius=44|Ivolt=1011,82|Aradius=93</v>
      </c>
      <c r="AQ16" s="87" t="str">
        <f t="shared" si="5"/>
        <v>|Enthalpie=314.6|IVolt2=1907,47|Wert=2|IVolt3=2914,14|Farbe=weiß/rot|Flamme=|Elektronenkonfiguration=[Ne] 3s2p3|EK-Wiki=[Ne] 3s&lt;sup&gt;2&lt;/sup&gt;p&lt;sup&gt;3&lt;/sup&gt;|pre=Silicium|next=Schwefel|Metall=Nichtmetall|E-Name=Phosphorus|L-Name=</v>
      </c>
      <c r="AR16" s="87" t="str">
        <f t="shared" si="6"/>
        <v>|Verwendung=|Wortherkunft=Phosphor''' (von griechische Sprache|griechisch φως-φορος = lichttragend, vom Leuchten des weißen Phosphors). Phosphor wurde 1669 von Hennig Brand, einem deutschen Apotheker und Alchemisten, entdeckt, als dieser - auf der Suche nach dem "Stein der Weisen" - Urin destillierte und der Rückstand glühte.|L-Abk. bzw. redirect=#REDIRECT [[Phosphor]]|radioaktiv=|hoch=Stickstoff|runter=Arsen|Bild-Element=|Bild-Verwendung=|www= wurde 1669 in Deutschland durch Brand entdeckt.|E-Gruppe=|Sonstiges-kurz=|OZ3=015|WL=Sammlung|Text= }}
[[Kategorie:Chemie]][[Kategorie:Chemikalien]]</v>
      </c>
      <c r="AS16" s="104" t="str">
        <f t="shared" si="2"/>
        <v>{{Element|Ordnungszahl=15|Symbol=P|Name=Phosphor|Atommasse=30,973761|EN=2,1|BP=280 °C|MP=44 °C|Dichte=1,82 g/cm³|Ionenradius=44|Ivolt=1011,82|Aradius=93|Enthalpie=314.6|IVolt2=1907,47|Wert=2|IVolt3=2914,14|Farbe=weiß/rot|Flamme=|Elektronenkonfiguration=[Ne] 3s2p3|EK-Wiki=[Ne] 3s&lt;sup&gt;2&lt;/sup&gt;p&lt;sup&gt;3&lt;/sup&gt;|pre=Silicium|next=Schwefel|Metall=Nichtmetall|E-Name=Phosphorus|L-Name=|Verwendung=|Wortherkunft=Phosphor''' (von griechische Sprache|griechisch φως-φορος = lichttragend, vom Leuchten des weißen Phosphors). Phosphor wurde 1669 von Hennig Brand, einem deutschen Apotheker und Alchemisten, entdeckt, als dieser - auf der Suche nach dem "Stein der Weisen" - Urin destillierte und der Rückstand glühte.|L-Abk. bzw. redirect=#REDIRECT [[Phosphor]]|radioaktiv=|hoch=Stickstoff|runter=Arsen|Bild-Element=|Bild-Verwendung=|www= wurde 1669 in Deutschland durch Brand entdeckt.|E-Gruppe=|Sonstiges-kurz=|OZ3=015|WL=Sammlung|Text= }}
[[Kategorie:Chemie]][[Kategorie:Chemikalien]]</v>
      </c>
      <c r="AT16" t="str">
        <f t="shared" si="7"/>
        <v xml:space="preserve"> wurde 1669 in Deutschland durch Brand entdeckt. http://www.webelements.com/webelements/elements/media/element-pics/P.jpg</v>
      </c>
    </row>
    <row r="17" spans="1:46" ht="248.4">
      <c r="A17">
        <v>16</v>
      </c>
      <c r="B17" t="s">
        <v>1123</v>
      </c>
      <c r="C17" t="s">
        <v>1124</v>
      </c>
      <c r="D17">
        <v>32.064999999999998</v>
      </c>
      <c r="E17">
        <v>2.5</v>
      </c>
      <c r="F17" t="s">
        <v>557</v>
      </c>
      <c r="G17" t="s">
        <v>558</v>
      </c>
      <c r="H17" t="s">
        <v>456</v>
      </c>
      <c r="I17" t="s">
        <v>992</v>
      </c>
      <c r="L17">
        <v>29</v>
      </c>
      <c r="M17">
        <v>104</v>
      </c>
      <c r="N17" s="103">
        <v>999.6</v>
      </c>
      <c r="P17" t="s">
        <v>1125</v>
      </c>
      <c r="Q17" s="103">
        <v>2251.7800000000002</v>
      </c>
      <c r="R17">
        <v>4</v>
      </c>
      <c r="S17" s="103">
        <v>3356.75</v>
      </c>
      <c r="T17" t="s">
        <v>1105</v>
      </c>
      <c r="V17" t="s">
        <v>784</v>
      </c>
      <c r="W17" t="s">
        <v>895</v>
      </c>
      <c r="X17" t="str">
        <f t="shared" si="8"/>
        <v>Phosphor</v>
      </c>
      <c r="Y17" t="str">
        <f t="shared" si="3"/>
        <v>Chlor</v>
      </c>
      <c r="Z17" t="s">
        <v>990</v>
      </c>
      <c r="AA17" s="72" t="s">
        <v>1028</v>
      </c>
      <c r="AB17" s="108"/>
      <c r="AC17" s="72"/>
      <c r="AD17" s="87" t="s">
        <v>1247</v>
      </c>
      <c r="AE17" s="87" t="str">
        <f t="shared" si="9"/>
        <v>#REDIRECT [[Schwefel]]</v>
      </c>
      <c r="AG17" t="str">
        <f>C9</f>
        <v>Sauerstoff</v>
      </c>
      <c r="AH17" t="str">
        <f t="shared" si="13"/>
        <v>Selen</v>
      </c>
      <c r="AK17" t="s">
        <v>1159</v>
      </c>
      <c r="AN17" t="str">
        <f t="shared" si="12"/>
        <v>016</v>
      </c>
      <c r="AO17" t="s">
        <v>1235</v>
      </c>
      <c r="AP17" s="87" t="str">
        <f t="shared" si="1"/>
        <v>{{Element|Ordnungszahl=16|Symbol=S|Name=Schwefel|Atommasse=32,065|EN=2,5|BP=445 °C|MP=113 °C|Dichte=2,06 g/cm³|Ionenradius=29|Ivolt=999,6|Aradius=104</v>
      </c>
      <c r="AQ17" s="87" t="str">
        <f t="shared" si="5"/>
        <v>|Enthalpie=278.8|IVolt2=2251,78|Wert=4|IVolt3=3356,75|Farbe=gelb|Flamme=|Elektronenkonfiguration=[Ne] 3s2p4|EK-Wiki=[Ne] 3s&lt;sup&gt;2&lt;/sup&gt;p&lt;sup&gt;4&lt;/sup&gt;|pre=Phosphor|next=Chlor|Metall=Nichtmetall|E-Name=Sulfur|L-Name=</v>
      </c>
      <c r="AR17" s="87" t="str">
        <f t="shared" si="6"/>
        <v>|Verwendung=|Wortherkunft=Schwefel (chemisch nach dem Lateinischen Sulphur oder Sulfur genannt, im Deutschen eventuell vom Indogermanischen *suel- „schwelen" abgeleitet). |L-Abk. bzw. redirect=#REDIRECT [[Schwefel]]|radioaktiv=|hoch=Sauerstoff|runter=Selen|Bild-Element=|Bild-Verwendung=|www= ist seit dem Altertum bekannt.|E-Gruppe=|Sonstiges-kurz=|OZ3=016|WL=Sammlung|Text= }}
[[Kategorie:Chemie]][[Kategorie:Chemikalien]]</v>
      </c>
      <c r="AS17" s="104" t="str">
        <f t="shared" si="2"/>
        <v>{{Element|Ordnungszahl=16|Symbol=S|Name=Schwefel|Atommasse=32,065|EN=2,5|BP=445 °C|MP=113 °C|Dichte=2,06 g/cm³|Ionenradius=29|Ivolt=999,6|Aradius=104|Enthalpie=278.8|IVolt2=2251,78|Wert=4|IVolt3=3356,75|Farbe=gelb|Flamme=|Elektronenkonfiguration=[Ne] 3s2p4|EK-Wiki=[Ne] 3s&lt;sup&gt;2&lt;/sup&gt;p&lt;sup&gt;4&lt;/sup&gt;|pre=Phosphor|next=Chlor|Metall=Nichtmetall|E-Name=Sulfur|L-Name=|Verwendung=|Wortherkunft=Schwefel (chemisch nach dem Lateinischen Sulphur oder Sulfur genannt, im Deutschen eventuell vom Indogermanischen *suel- „schwelen" abgeleitet). |L-Abk. bzw. redirect=#REDIRECT [[Schwefel]]|radioaktiv=|hoch=Sauerstoff|runter=Selen|Bild-Element=|Bild-Verwendung=|www= ist seit dem Altertum bekannt.|E-Gruppe=|Sonstiges-kurz=|OZ3=016|WL=Sammlung|Text= }}
[[Kategorie:Chemie]][[Kategorie:Chemikalien]]</v>
      </c>
      <c r="AT17" t="str">
        <f t="shared" si="7"/>
        <v xml:space="preserve"> ist seit dem Altertum bekannt. http://www.webelements.com/webelements/elements/media/element-pics/S.jpg</v>
      </c>
    </row>
    <row r="18" spans="1:46" ht="234.6">
      <c r="A18">
        <v>17</v>
      </c>
      <c r="B18" t="s">
        <v>1126</v>
      </c>
      <c r="C18" t="s">
        <v>1127</v>
      </c>
      <c r="D18">
        <v>35.453000000000003</v>
      </c>
      <c r="E18">
        <v>3</v>
      </c>
      <c r="F18" t="s">
        <v>559</v>
      </c>
      <c r="G18" t="s">
        <v>560</v>
      </c>
      <c r="H18" t="s">
        <v>984</v>
      </c>
      <c r="I18">
        <v>1774</v>
      </c>
      <c r="J18" t="s">
        <v>198</v>
      </c>
      <c r="K18" t="s">
        <v>1076</v>
      </c>
      <c r="L18">
        <v>181</v>
      </c>
      <c r="M18">
        <v>99.4</v>
      </c>
      <c r="N18" s="103">
        <v>1251.2</v>
      </c>
      <c r="P18" t="s">
        <v>1128</v>
      </c>
      <c r="Q18" s="103">
        <v>2297.7199999999998</v>
      </c>
      <c r="R18">
        <v>6</v>
      </c>
      <c r="S18" s="103">
        <v>3821.81</v>
      </c>
      <c r="T18" t="s">
        <v>8</v>
      </c>
      <c r="V18" t="s">
        <v>785</v>
      </c>
      <c r="W18" t="s">
        <v>897</v>
      </c>
      <c r="X18" t="str">
        <f t="shared" si="8"/>
        <v>Schwefel</v>
      </c>
      <c r="Y18" t="str">
        <f t="shared" si="3"/>
        <v>Argon</v>
      </c>
      <c r="Z18" t="s">
        <v>990</v>
      </c>
      <c r="AA18" s="72" t="s">
        <v>1036</v>
      </c>
      <c r="AB18" s="108"/>
      <c r="AC18" s="72"/>
      <c r="AD18" s="87" t="s">
        <v>1217</v>
      </c>
      <c r="AE18" s="87" t="str">
        <f t="shared" si="9"/>
        <v>#REDIRECT [[Chlor]]</v>
      </c>
      <c r="AG18" t="str">
        <f>C10</f>
        <v>Fluor</v>
      </c>
      <c r="AH18" t="str">
        <f t="shared" si="13"/>
        <v>Brom</v>
      </c>
      <c r="AK18" t="str">
        <f t="shared" si="4"/>
        <v xml:space="preserve"> wurde 1774 in Schweden durch Scheele entdeckt.</v>
      </c>
      <c r="AN18" t="str">
        <f t="shared" si="12"/>
        <v>017</v>
      </c>
      <c r="AO18" t="s">
        <v>1235</v>
      </c>
      <c r="AP18" s="87" t="str">
        <f t="shared" si="1"/>
        <v>{{Element|Ordnungszahl=17|Symbol=Cl|Name=Chlor|Atommasse=35,453|EN=3|BP=-35 °C|MP=-101 °C|Dichte=3,214 g/L|Ionenradius=181|Ivolt=1251,2|Aradius=99,4</v>
      </c>
      <c r="AQ18" s="87" t="str">
        <f t="shared" si="5"/>
        <v>|Enthalpie=121.7|IVolt2=2297,72|Wert=6|IVolt3=3821,81|Farbe=gelb-grün|Flamme=|Elektronenkonfiguration=[Ne] 3s2p5|EK-Wiki=[Ne] 3s&lt;sup&gt;2&lt;/sup&gt;p&lt;sup&gt;5&lt;/sup&gt;|pre=Schwefel|next=Argon|Metall=Nichtmetall|E-Name=Chlorine|L-Name=</v>
      </c>
      <c r="AR18" s="87" t="str">
        <f t="shared" si="6"/>
        <v>|Verwendung=|Wortherkunft=Chlor (von griechisch chlorós = gelblich grün, wegen der gelbgrünen Farbe von Chlorgas)|L-Abk. bzw. redirect=#REDIRECT [[Chlor]]|radioaktiv=|hoch=Fluor|runter=Brom|Bild-Element=|Bild-Verwendung=|www= wurde 1774 in Schweden durch Scheele entdeckt.|E-Gruppe=|Sonstiges-kurz=|OZ3=017|WL=Sammlung|Text= }}
[[Kategorie:Chemie]][[Kategorie:Chemikalien]]</v>
      </c>
      <c r="AS18" s="104" t="str">
        <f t="shared" si="2"/>
        <v>{{Element|Ordnungszahl=17|Symbol=Cl|Name=Chlor|Atommasse=35,453|EN=3|BP=-35 °C|MP=-101 °C|Dichte=3,214 g/L|Ionenradius=181|Ivolt=1251,2|Aradius=99,4|Enthalpie=121.7|IVolt2=2297,72|Wert=6|IVolt3=3821,81|Farbe=gelb-grün|Flamme=|Elektronenkonfiguration=[Ne] 3s2p5|EK-Wiki=[Ne] 3s&lt;sup&gt;2&lt;/sup&gt;p&lt;sup&gt;5&lt;/sup&gt;|pre=Schwefel|next=Argon|Metall=Nichtmetall|E-Name=Chlorine|L-Name=|Verwendung=|Wortherkunft=Chlor (von griechisch chlorós = gelblich grün, wegen der gelbgrünen Farbe von Chlorgas)|L-Abk. bzw. redirect=#REDIRECT [[Chlor]]|radioaktiv=|hoch=Fluor|runter=Brom|Bild-Element=|Bild-Verwendung=|www= wurde 1774 in Schweden durch Scheele entdeckt.|E-Gruppe=|Sonstiges-kurz=|OZ3=017|WL=Sammlung|Text= }}
[[Kategorie:Chemie]][[Kategorie:Chemikalien]]</v>
      </c>
      <c r="AT18" t="str">
        <f t="shared" si="7"/>
        <v xml:space="preserve"> wurde 1774 in Schweden durch Scheele entdeckt. http://www.webelements.com/webelements/elements/media/element-pics/Cl.jpg</v>
      </c>
    </row>
    <row r="19" spans="1:46" ht="262.2">
      <c r="A19">
        <v>18</v>
      </c>
      <c r="B19" t="s">
        <v>9</v>
      </c>
      <c r="C19" t="s">
        <v>10</v>
      </c>
      <c r="D19">
        <v>39.948</v>
      </c>
      <c r="E19">
        <v>0</v>
      </c>
      <c r="F19" t="s">
        <v>561</v>
      </c>
      <c r="G19" t="s">
        <v>562</v>
      </c>
      <c r="H19" t="s">
        <v>985</v>
      </c>
      <c r="I19">
        <v>1895</v>
      </c>
      <c r="J19" t="s">
        <v>204</v>
      </c>
      <c r="K19" t="s">
        <v>1073</v>
      </c>
      <c r="L19" t="s">
        <v>1068</v>
      </c>
      <c r="M19">
        <v>174</v>
      </c>
      <c r="N19" s="103">
        <v>1520.58</v>
      </c>
      <c r="P19">
        <v>0</v>
      </c>
      <c r="Q19" s="103">
        <v>2665.88</v>
      </c>
      <c r="R19" t="s">
        <v>1068</v>
      </c>
      <c r="S19" s="103">
        <v>3930.84</v>
      </c>
      <c r="T19" t="s">
        <v>1069</v>
      </c>
      <c r="V19" t="s">
        <v>786</v>
      </c>
      <c r="W19" t="s">
        <v>899</v>
      </c>
      <c r="X19" t="str">
        <f t="shared" si="8"/>
        <v>Chlor</v>
      </c>
      <c r="Y19" t="str">
        <f t="shared" si="3"/>
        <v>Kalium</v>
      </c>
      <c r="Z19" t="s">
        <v>990</v>
      </c>
      <c r="AA19" s="72" t="s">
        <v>10</v>
      </c>
      <c r="AB19" s="108"/>
      <c r="AC19" s="72"/>
      <c r="AD19" s="87" t="s">
        <v>1220</v>
      </c>
      <c r="AE19" s="87" t="str">
        <f t="shared" si="9"/>
        <v>#REDIRECT [[Argon]]</v>
      </c>
      <c r="AG19" t="s">
        <v>1101</v>
      </c>
      <c r="AH19" t="str">
        <f t="shared" si="13"/>
        <v>Krypton</v>
      </c>
      <c r="AK19" t="str">
        <f t="shared" si="4"/>
        <v xml:space="preserve"> wurde 1895 in Schottland durch Rayleigh, Ramsay entdeckt.</v>
      </c>
      <c r="AN19" t="str">
        <f t="shared" si="12"/>
        <v>018</v>
      </c>
      <c r="AO19" t="s">
        <v>1235</v>
      </c>
      <c r="AP19" s="87" t="str">
        <f t="shared" si="1"/>
        <v>{{Element|Ordnungszahl=18|Symbol=Ar|Name=Argon|Atommasse=39,948|EN=0|BP=-186 °C|MP=-189 °C|Dichte=1,784 g/L|Ionenradius=-|Ivolt=1520,58|Aradius=174</v>
      </c>
      <c r="AQ19" s="87" t="str">
        <f t="shared" si="5"/>
        <v>|Enthalpie=0|IVolt2=2665,88|Wert=-|IVolt3=3930,84|Farbe=farblos|Flamme=|Elektronenkonfiguration=[Ne] 3s2p6|EK-Wiki=[Ne] 3s&lt;sup&gt;2&lt;/sup&gt;p&lt;sup&gt;6&lt;/sup&gt;|pre=Chlor|next=Kalium|Metall=Nichtmetall|E-Name=Argon|L-Name=</v>
      </c>
      <c r="AR19" s="87" t="str">
        <f t="shared" si="6"/>
        <v>|Verwendung=|Wortherkunft=Argon hat seine Bezeichnung vom griechischen Wort argon - das träge Element - wegen seiner chemischen Reaktionsträgheit|L-Abk. bzw. redirect=#REDIRECT [[Argon]]|radioaktiv=|hoch=Neon|runter=Krypton|Bild-Element=|Bild-Verwendung=|www= wurde 1895 in Schottland durch Rayleigh, Ramsay entdeckt.|E-Gruppe=|Sonstiges-kurz=|OZ3=018|WL=Sammlung|Text= }}
[[Kategorie:Chemie]][[Kategorie:Chemikalien]]</v>
      </c>
      <c r="AS19" s="104" t="str">
        <f t="shared" si="2"/>
        <v>{{Element|Ordnungszahl=18|Symbol=Ar|Name=Argon|Atommasse=39,948|EN=0|BP=-186 °C|MP=-189 °C|Dichte=1,784 g/L|Ionenradius=-|Ivolt=1520,58|Aradius=174|Enthalpie=0|IVolt2=2665,88|Wert=-|IVolt3=3930,84|Farbe=farblos|Flamme=|Elektronenkonfiguration=[Ne] 3s2p6|EK-Wiki=[Ne] 3s&lt;sup&gt;2&lt;/sup&gt;p&lt;sup&gt;6&lt;/sup&gt;|pre=Chlor|next=Kalium|Metall=Nichtmetall|E-Name=Argon|L-Name=|Verwendung=|Wortherkunft=Argon hat seine Bezeichnung vom griechischen Wort argon - das träge Element - wegen seiner chemischen Reaktionsträgheit|L-Abk. bzw. redirect=#REDIRECT [[Argon]]|radioaktiv=|hoch=Neon|runter=Krypton|Bild-Element=|Bild-Verwendung=|www= wurde 1895 in Schottland durch Rayleigh, Ramsay entdeckt.|E-Gruppe=|Sonstiges-kurz=|OZ3=018|WL=Sammlung|Text= }}
[[Kategorie:Chemie]][[Kategorie:Chemikalien]]</v>
      </c>
      <c r="AT19" t="str">
        <f t="shared" si="7"/>
        <v xml:space="preserve"> wurde 1895 in Schottland durch Rayleigh, Ramsay entdeckt. http://www.webelements.com/webelements/elements/media/element-pics/Ar.jpg</v>
      </c>
    </row>
    <row r="20" spans="1:46" ht="248.4">
      <c r="A20">
        <v>19</v>
      </c>
      <c r="B20" t="s">
        <v>11</v>
      </c>
      <c r="C20" t="s">
        <v>12</v>
      </c>
      <c r="D20">
        <v>39.098300000000002</v>
      </c>
      <c r="E20">
        <v>0.8</v>
      </c>
      <c r="F20" t="s">
        <v>563</v>
      </c>
      <c r="G20" t="s">
        <v>564</v>
      </c>
      <c r="H20" t="s">
        <v>734</v>
      </c>
      <c r="I20">
        <v>1807</v>
      </c>
      <c r="J20" t="s">
        <v>200</v>
      </c>
      <c r="K20" t="s">
        <v>1067</v>
      </c>
      <c r="L20">
        <v>133</v>
      </c>
      <c r="M20">
        <v>227</v>
      </c>
      <c r="N20" s="103">
        <v>418.81</v>
      </c>
      <c r="P20" t="s">
        <v>13</v>
      </c>
      <c r="Q20" s="103">
        <v>3051.85</v>
      </c>
      <c r="R20">
        <v>1</v>
      </c>
      <c r="S20" s="103">
        <v>4419.6400000000003</v>
      </c>
      <c r="T20" t="s">
        <v>1227</v>
      </c>
      <c r="U20" t="s">
        <v>14</v>
      </c>
      <c r="V20" t="s">
        <v>787</v>
      </c>
      <c r="W20" t="s">
        <v>875</v>
      </c>
      <c r="X20" t="str">
        <f t="shared" si="8"/>
        <v>Argon</v>
      </c>
      <c r="Y20" t="str">
        <f t="shared" si="3"/>
        <v>Calcium</v>
      </c>
      <c r="Z20" t="s">
        <v>989</v>
      </c>
      <c r="AA20" s="72" t="s">
        <v>1051</v>
      </c>
      <c r="AB20" s="108"/>
      <c r="AC20" s="72"/>
      <c r="AD20" s="88" t="s">
        <v>1221</v>
      </c>
      <c r="AE20" s="87" t="str">
        <f t="shared" si="9"/>
        <v>#REDIRECT [[Kalium]]</v>
      </c>
      <c r="AG20" t="str">
        <f>C12</f>
        <v>Natrium</v>
      </c>
      <c r="AH20" t="str">
        <f t="shared" si="13"/>
        <v>Rubidium</v>
      </c>
      <c r="AK20" t="str">
        <f t="shared" si="4"/>
        <v xml:space="preserve"> wurde 1807 in England durch Davy entdeckt.</v>
      </c>
      <c r="AN20" t="str">
        <f t="shared" si="12"/>
        <v>019</v>
      </c>
      <c r="AO20" t="s">
        <v>1235</v>
      </c>
      <c r="AP20" s="87" t="str">
        <f t="shared" si="1"/>
        <v>{{Element|Ordnungszahl=19|Symbol=K|Name=Kalium|Atommasse=39,0983|EN=0,8|BP=760 °C|MP=64 °C|Dichte=0,862 g/cm³|Ionenradius=133|Ivolt=418,81|Aradius=227</v>
      </c>
      <c r="AQ20" s="87" t="str">
        <f t="shared" si="5"/>
        <v>|Enthalpie=89.2|IVolt2=3051,85|Wert=1|IVolt3=4419,64|Farbe=silbrig|Flamme=violett|Elektronenkonfiguration=[Ar] 4s1|EK-Wiki=[Ar] 4s&lt;sup&gt;1&lt;/sup&gt;|pre=Argon|next=Calcium|Metall=Metall|E-Name=Potassium|L-Name=</v>
      </c>
      <c r="AR20" s="87" t="str">
        <f t="shared" si="6"/>
        <v>|Verwendung=|Wortherkunft='Kalium''', (von Kali aus Arabische Sprache|arab. ''al qalja'' = Pflanzenasche).  Kalium (von arab.: al-qali = Asche, aus Pflanzenasche gewinnbar)|L-Abk. bzw. redirect=#REDIRECT [[Kalium]]|radioaktiv=|hoch=Natrium|runter=Rubidium|Bild-Element=|Bild-Verwendung=|www= wurde 1807 in England durch Davy entdeckt.|E-Gruppe=|Sonstiges-kurz=|OZ3=019|WL=Sammlung|Text= }}
[[Kategorie:Chemie]][[Kategorie:Chemikalien]]</v>
      </c>
      <c r="AS20" s="104" t="str">
        <f t="shared" si="2"/>
        <v>{{Element|Ordnungszahl=19|Symbol=K|Name=Kalium|Atommasse=39,0983|EN=0,8|BP=760 °C|MP=64 °C|Dichte=0,862 g/cm³|Ionenradius=133|Ivolt=418,81|Aradius=227|Enthalpie=89.2|IVolt2=3051,85|Wert=1|IVolt3=4419,64|Farbe=silbrig|Flamme=violett|Elektronenkonfiguration=[Ar] 4s1|EK-Wiki=[Ar] 4s&lt;sup&gt;1&lt;/sup&gt;|pre=Argon|next=Calcium|Metall=Metall|E-Name=Potassium|L-Name=|Verwendung=|Wortherkunft='Kalium''', (von Kali aus Arabische Sprache|arab. ''al qalja'' = Pflanzenasche).  Kalium (von arab.: al-qali = Asche, aus Pflanzenasche gewinnbar)|L-Abk. bzw. redirect=#REDIRECT [[Kalium]]|radioaktiv=|hoch=Natrium|runter=Rubidium|Bild-Element=|Bild-Verwendung=|www= wurde 1807 in England durch Davy entdeckt.|E-Gruppe=|Sonstiges-kurz=|OZ3=019|WL=Sammlung|Text= }}
[[Kategorie:Chemie]][[Kategorie:Chemikalien]]</v>
      </c>
      <c r="AT20" t="str">
        <f t="shared" si="7"/>
        <v xml:space="preserve"> wurde 1807 in England durch Davy entdeckt. http://www.webelements.com/webelements/elements/media/element-pics/K.jpg</v>
      </c>
    </row>
    <row r="21" spans="1:46" ht="248.4">
      <c r="A21">
        <v>20</v>
      </c>
      <c r="B21" t="s">
        <v>15</v>
      </c>
      <c r="C21" t="s">
        <v>16</v>
      </c>
      <c r="D21">
        <v>40.078000000000003</v>
      </c>
      <c r="E21">
        <v>1</v>
      </c>
      <c r="F21" t="s">
        <v>565</v>
      </c>
      <c r="G21" t="s">
        <v>566</v>
      </c>
      <c r="H21" t="s">
        <v>739</v>
      </c>
      <c r="I21">
        <v>1808</v>
      </c>
      <c r="J21" t="s">
        <v>200</v>
      </c>
      <c r="K21" t="s">
        <v>1067</v>
      </c>
      <c r="L21">
        <v>106</v>
      </c>
      <c r="M21">
        <v>197.3</v>
      </c>
      <c r="N21" s="103">
        <v>589.83000000000004</v>
      </c>
      <c r="P21" t="s">
        <v>17</v>
      </c>
      <c r="Q21" s="103">
        <v>1145.46</v>
      </c>
      <c r="R21">
        <v>2</v>
      </c>
      <c r="S21" s="103">
        <v>4912.3999999999996</v>
      </c>
      <c r="T21" t="s">
        <v>1229</v>
      </c>
      <c r="U21" t="s">
        <v>18</v>
      </c>
      <c r="V21" t="s">
        <v>788</v>
      </c>
      <c r="W21" t="s">
        <v>883</v>
      </c>
      <c r="X21" t="str">
        <f t="shared" si="8"/>
        <v>Kalium</v>
      </c>
      <c r="Y21" t="str">
        <f t="shared" si="3"/>
        <v>Scandium</v>
      </c>
      <c r="Z21" t="s">
        <v>989</v>
      </c>
      <c r="AA21" s="72" t="s">
        <v>16</v>
      </c>
      <c r="AB21" s="108"/>
      <c r="AC21" s="72"/>
      <c r="AD21" s="87" t="s">
        <v>301</v>
      </c>
      <c r="AE21" s="87" t="str">
        <f t="shared" si="9"/>
        <v>#REDIRECT [[Calcium]]</v>
      </c>
      <c r="AG21" t="s">
        <v>1107</v>
      </c>
      <c r="AH21" t="str">
        <f t="shared" si="13"/>
        <v>Strontium</v>
      </c>
      <c r="AK21" t="str">
        <f t="shared" si="4"/>
        <v xml:space="preserve"> wurde 1808 in England durch Davy entdeckt.</v>
      </c>
      <c r="AN21" t="str">
        <f t="shared" si="12"/>
        <v>020</v>
      </c>
      <c r="AO21" t="s">
        <v>1235</v>
      </c>
      <c r="AP21" s="87" t="str">
        <f t="shared" si="1"/>
        <v>{{Element|Ordnungszahl=20|Symbol=Ca|Name=Calcium|Atommasse=40,078|EN=1|BP=1490 °C|MP=838 °C|Dichte=1,55 g/cm³|Ionenradius=106|Ivolt=589,83|Aradius=197,3</v>
      </c>
      <c r="AQ21" s="87" t="str">
        <f t="shared" si="5"/>
        <v>|Enthalpie=178.2|IVolt2=1145,46|Wert=2|IVolt3=4912,4|Farbe=silbrig-weiß|Flamme=ziegelrot|Elektronenkonfiguration=[Ar] 4s2|EK-Wiki=[Ar] 4s&lt;sup&gt;2&lt;/sup&gt;|pre=Kalium|next=Scandium|Metall=Metall|E-Name=Calcium|L-Name=</v>
      </c>
      <c r="AR21" s="87" t="str">
        <f t="shared" si="6"/>
        <v>|Verwendung=|Wortherkunft=Die Elementbezeichnug leitet sich von dem lateinischen ''calx'' ab. So bezeichneten die Römer Kalkstein, Kreide und daraus hergestellten Mörtel.|L-Abk. bzw. redirect=#REDIRECT [[Calcium]]|radioaktiv=|hoch=Magnesium|runter=Strontium|Bild-Element=|Bild-Verwendung=|www= wurde 1808 in England durch Davy entdeckt.|E-Gruppe=|Sonstiges-kurz=|OZ3=020|WL=Sammlung|Text= }}
[[Kategorie:Chemie]][[Kategorie:Chemikalien]]</v>
      </c>
      <c r="AS21" s="104" t="str">
        <f t="shared" si="2"/>
        <v>{{Element|Ordnungszahl=20|Symbol=Ca|Name=Calcium|Atommasse=40,078|EN=1|BP=1490 °C|MP=838 °C|Dichte=1,55 g/cm³|Ionenradius=106|Ivolt=589,83|Aradius=197,3|Enthalpie=178.2|IVolt2=1145,46|Wert=2|IVolt3=4912,4|Farbe=silbrig-weiß|Flamme=ziegelrot|Elektronenkonfiguration=[Ar] 4s2|EK-Wiki=[Ar] 4s&lt;sup&gt;2&lt;/sup&gt;|pre=Kalium|next=Scandium|Metall=Metall|E-Name=Calcium|L-Name=|Verwendung=|Wortherkunft=Die Elementbezeichnug leitet sich von dem lateinischen ''calx'' ab. So bezeichneten die Römer Kalkstein, Kreide und daraus hergestellten Mörtel.|L-Abk. bzw. redirect=#REDIRECT [[Calcium]]|radioaktiv=|hoch=Magnesium|runter=Strontium|Bild-Element=|Bild-Verwendung=|www= wurde 1808 in England durch Davy entdeckt.|E-Gruppe=|Sonstiges-kurz=|OZ3=020|WL=Sammlung|Text= }}
[[Kategorie:Chemie]][[Kategorie:Chemikalien]]</v>
      </c>
      <c r="AT21" t="str">
        <f t="shared" si="7"/>
        <v xml:space="preserve"> wurde 1808 in England durch Davy entdeckt. http://www.webelements.com/webelements/elements/media/element-pics/Ca.jpg</v>
      </c>
    </row>
    <row r="22" spans="1:46" ht="234.6">
      <c r="A22">
        <v>21</v>
      </c>
      <c r="B22" t="s">
        <v>19</v>
      </c>
      <c r="C22" t="s">
        <v>20</v>
      </c>
      <c r="D22">
        <v>44.955910000000003</v>
      </c>
      <c r="E22">
        <v>1.3</v>
      </c>
      <c r="F22" t="s">
        <v>567</v>
      </c>
      <c r="G22" t="s">
        <v>568</v>
      </c>
      <c r="H22" t="s">
        <v>457</v>
      </c>
      <c r="I22">
        <v>1879</v>
      </c>
      <c r="J22" t="s">
        <v>205</v>
      </c>
      <c r="K22" t="s">
        <v>1076</v>
      </c>
      <c r="L22">
        <v>83</v>
      </c>
      <c r="M22">
        <v>160.6</v>
      </c>
      <c r="N22" s="103">
        <v>633.09</v>
      </c>
      <c r="P22" t="s">
        <v>21</v>
      </c>
      <c r="Q22" s="103">
        <v>1234.99</v>
      </c>
      <c r="R22">
        <v>3</v>
      </c>
      <c r="S22" s="103">
        <v>2388.67</v>
      </c>
      <c r="T22" t="s">
        <v>1229</v>
      </c>
      <c r="V22" t="s">
        <v>789</v>
      </c>
      <c r="W22" t="s">
        <v>900</v>
      </c>
      <c r="X22" t="str">
        <f t="shared" si="8"/>
        <v>Calcium</v>
      </c>
      <c r="Y22" t="str">
        <f t="shared" si="3"/>
        <v>Titan</v>
      </c>
      <c r="Z22" t="s">
        <v>989</v>
      </c>
      <c r="AA22" s="72" t="s">
        <v>20</v>
      </c>
      <c r="AB22" s="108"/>
      <c r="AC22" s="72"/>
      <c r="AD22" s="87" t="s">
        <v>141</v>
      </c>
      <c r="AE22" s="87" t="str">
        <f t="shared" si="9"/>
        <v>#REDIRECT [[Scandium]]</v>
      </c>
      <c r="AG22" t="str">
        <f>C22</f>
        <v>Scandium</v>
      </c>
      <c r="AH22" t="str">
        <f t="shared" si="13"/>
        <v>Yttrium</v>
      </c>
      <c r="AK22" t="str">
        <f t="shared" si="4"/>
        <v xml:space="preserve"> wurde 1879 in Schweden durch Nilson entdeckt.</v>
      </c>
      <c r="AN22" t="str">
        <f t="shared" si="12"/>
        <v>021</v>
      </c>
      <c r="AO22" t="s">
        <v>1236</v>
      </c>
      <c r="AP22" s="87" t="str">
        <f t="shared" si="1"/>
        <v>{{Element|Ordnungszahl=21|Symbol=Sc|Name=Scandium|Atommasse=44,95591|EN=1,3|BP=2730 °C|MP=1540 °C|Dichte=2,99 g/cm³|Ionenradius=83|Ivolt=633,09|Aradius=160,6</v>
      </c>
      <c r="AQ22" s="87" t="str">
        <f t="shared" si="5"/>
        <v>|Enthalpie=377.8|IVolt2=1234,99|Wert=3|IVolt3=2388,67|Farbe=silbrig-weiß|Flamme=|Elektronenkonfiguration=[Ar] 4s2 3d1|EK-Wiki=[Ar] 4s&lt;sup&gt;2&lt;/sup&gt; 3d&lt;sup&gt;1&lt;/sup&gt;|pre=Calcium|next=Titan|Metall=Metall|E-Name=Scandium|L-Name=</v>
      </c>
      <c r="AR22" s="87" t="str">
        <f t="shared" si="6"/>
        <v>|Verwendung=|Wortherkunft=Scandium (lat. Scandia für Skandinavien)|L-Abk. bzw. redirect=#REDIRECT [[Scandium]]|radioaktiv=|hoch=Scandium|runter=Yttrium|Bild-Element=|Bild-Verwendung=|www= wurde 1879 in Schweden durch Nilson entdeckt.|E-Gruppe=|Sonstiges-kurz=|OZ3=021|WL=nichda|Text= }}
[[Kategorie:Chemie]][[Kategorie:Chemikalien]]</v>
      </c>
      <c r="AS22" s="104" t="str">
        <f t="shared" si="2"/>
        <v>{{Element|Ordnungszahl=21|Symbol=Sc|Name=Scandium|Atommasse=44,95591|EN=1,3|BP=2730 °C|MP=1540 °C|Dichte=2,99 g/cm³|Ionenradius=83|Ivolt=633,09|Aradius=160,6|Enthalpie=377.8|IVolt2=1234,99|Wert=3|IVolt3=2388,67|Farbe=silbrig-weiß|Flamme=|Elektronenkonfiguration=[Ar] 4s2 3d1|EK-Wiki=[Ar] 4s&lt;sup&gt;2&lt;/sup&gt; 3d&lt;sup&gt;1&lt;/sup&gt;|pre=Calcium|next=Titan|Metall=Metall|E-Name=Scandium|L-Name=|Verwendung=|Wortherkunft=Scandium (lat. Scandia für Skandinavien)|L-Abk. bzw. redirect=#REDIRECT [[Scandium]]|radioaktiv=|hoch=Scandium|runter=Yttrium|Bild-Element=|Bild-Verwendung=|www= wurde 1879 in Schweden durch Nilson entdeckt.|E-Gruppe=|Sonstiges-kurz=|OZ3=021|WL=nichda|Text= }}
[[Kategorie:Chemie]][[Kategorie:Chemikalien]]</v>
      </c>
      <c r="AT22" t="str">
        <f t="shared" si="7"/>
        <v xml:space="preserve"> wurde 1879 in Schweden durch Nilson entdeckt. http://www.webelements.com/webelements/elements/media/element-pics/Sc.jpg</v>
      </c>
    </row>
    <row r="23" spans="1:46" ht="220.8">
      <c r="A23">
        <v>22</v>
      </c>
      <c r="B23" t="s">
        <v>22</v>
      </c>
      <c r="C23" t="s">
        <v>23</v>
      </c>
      <c r="D23">
        <v>47.866999999999997</v>
      </c>
      <c r="E23">
        <v>1.5</v>
      </c>
      <c r="F23" t="s">
        <v>569</v>
      </c>
      <c r="G23" t="s">
        <v>570</v>
      </c>
      <c r="H23" t="s">
        <v>458</v>
      </c>
      <c r="I23">
        <v>1795</v>
      </c>
      <c r="J23" t="s">
        <v>180</v>
      </c>
      <c r="K23" t="s">
        <v>1067</v>
      </c>
      <c r="L23">
        <v>61</v>
      </c>
      <c r="M23">
        <v>144.80000000000001</v>
      </c>
      <c r="N23" s="103">
        <v>658.82</v>
      </c>
      <c r="P23" t="s">
        <v>24</v>
      </c>
      <c r="Q23" s="103">
        <v>1309.8499999999999</v>
      </c>
      <c r="R23">
        <v>6</v>
      </c>
      <c r="S23" s="103">
        <v>2652.56</v>
      </c>
      <c r="T23" t="s">
        <v>1223</v>
      </c>
      <c r="V23" t="s">
        <v>790</v>
      </c>
      <c r="W23" t="s">
        <v>905</v>
      </c>
      <c r="X23" t="str">
        <f t="shared" si="8"/>
        <v>Scandium</v>
      </c>
      <c r="Y23" t="str">
        <f t="shared" si="3"/>
        <v>Vanadium</v>
      </c>
      <c r="Z23" t="s">
        <v>989</v>
      </c>
      <c r="AA23" s="72" t="s">
        <v>1044</v>
      </c>
      <c r="AB23" s="108"/>
      <c r="AC23" s="72"/>
      <c r="AD23" s="87" t="s">
        <v>142</v>
      </c>
      <c r="AE23" s="87" t="str">
        <f t="shared" si="9"/>
        <v>#REDIRECT [[Titan]]</v>
      </c>
      <c r="AG23" t="str">
        <f t="shared" ref="AG23:AG31" si="14">C23</f>
        <v>Titan</v>
      </c>
      <c r="AH23" t="str">
        <f t="shared" si="13"/>
        <v>Zirconium</v>
      </c>
      <c r="AK23" t="str">
        <f t="shared" si="4"/>
        <v xml:space="preserve"> wurde 1795 in England durch Klaproth entdeckt.</v>
      </c>
      <c r="AN23" t="str">
        <f t="shared" si="12"/>
        <v>022</v>
      </c>
      <c r="AO23" t="s">
        <v>1235</v>
      </c>
      <c r="AP23" s="87" t="str">
        <f t="shared" si="1"/>
        <v>{{Element|Ordnungszahl=22|Symbol=Ti|Name=Titan|Atommasse=47,867|EN=1,5|BP=3260 °C|MP=1670 °C|Dichte=4,51 g/cm³|Ionenradius=61|Ivolt=658,82|Aradius=144,8</v>
      </c>
      <c r="AQ23" s="87" t="str">
        <f t="shared" si="5"/>
        <v>|Enthalpie=469.9|IVolt2=1309,85|Wert=6|IVolt3=2652,56|Farbe=silbrig-grau|Flamme=|Elektronenkonfiguration=[Ar] 4s2 3d2|EK-Wiki=[Ar] 4s&lt;sup&gt;2&lt;/sup&gt; 3d&lt;sup&gt;2&lt;/sup&gt;|pre=Scandium|next=Vanadium|Metall=Metall|E-Name=Titanium|L-Name=</v>
      </c>
      <c r="AR23" s="87" t="str">
        <f t="shared" si="6"/>
        <v>|Verwendung=|Wortherkunft=Titan |L-Abk. bzw. redirect=#REDIRECT [[Titan]]|radioaktiv=|hoch=Titan|runter=Zirconium|Bild-Element=|Bild-Verwendung=|www= wurde 1795 in England durch Klaproth entdeckt.|E-Gruppe=|Sonstiges-kurz=|OZ3=022|WL=Sammlung|Text= }}
[[Kategorie:Chemie]][[Kategorie:Chemikalien]]</v>
      </c>
      <c r="AS23" s="104" t="str">
        <f t="shared" si="2"/>
        <v>{{Element|Ordnungszahl=22|Symbol=Ti|Name=Titan|Atommasse=47,867|EN=1,5|BP=3260 °C|MP=1670 °C|Dichte=4,51 g/cm³|Ionenradius=61|Ivolt=658,82|Aradius=144,8|Enthalpie=469.9|IVolt2=1309,85|Wert=6|IVolt3=2652,56|Farbe=silbrig-grau|Flamme=|Elektronenkonfiguration=[Ar] 4s2 3d2|EK-Wiki=[Ar] 4s&lt;sup&gt;2&lt;/sup&gt; 3d&lt;sup&gt;2&lt;/sup&gt;|pre=Scandium|next=Vanadium|Metall=Metall|E-Name=Titanium|L-Name=|Verwendung=|Wortherkunft=Titan |L-Abk. bzw. redirect=#REDIRECT [[Titan]]|radioaktiv=|hoch=Titan|runter=Zirconium|Bild-Element=|Bild-Verwendung=|www= wurde 1795 in England durch Klaproth entdeckt.|E-Gruppe=|Sonstiges-kurz=|OZ3=022|WL=Sammlung|Text= }}
[[Kategorie:Chemie]][[Kategorie:Chemikalien]]</v>
      </c>
      <c r="AT23" t="str">
        <f t="shared" si="7"/>
        <v xml:space="preserve"> wurde 1795 in England durch Klaproth entdeckt. http://www.webelements.com/webelements/elements/media/element-pics/Ti.jpg</v>
      </c>
    </row>
    <row r="24" spans="1:46" ht="317.39999999999998">
      <c r="A24">
        <v>23</v>
      </c>
      <c r="B24" t="s">
        <v>25</v>
      </c>
      <c r="C24" t="s">
        <v>26</v>
      </c>
      <c r="D24">
        <v>50.941499999999998</v>
      </c>
      <c r="E24">
        <v>1.6</v>
      </c>
      <c r="F24" t="s">
        <v>571</v>
      </c>
      <c r="G24" t="s">
        <v>572</v>
      </c>
      <c r="H24" t="s">
        <v>459</v>
      </c>
      <c r="I24">
        <v>1831</v>
      </c>
      <c r="J24" t="s">
        <v>206</v>
      </c>
      <c r="K24" t="s">
        <v>27</v>
      </c>
      <c r="L24">
        <v>59</v>
      </c>
      <c r="M24">
        <v>132.1</v>
      </c>
      <c r="N24" s="103">
        <v>650.91999999999996</v>
      </c>
      <c r="P24" t="s">
        <v>28</v>
      </c>
      <c r="Q24" s="103">
        <v>1414.49</v>
      </c>
      <c r="R24">
        <v>7</v>
      </c>
      <c r="S24" s="103">
        <v>2828.1</v>
      </c>
      <c r="T24" t="s">
        <v>1229</v>
      </c>
      <c r="V24" t="s">
        <v>791</v>
      </c>
      <c r="W24" t="s">
        <v>908</v>
      </c>
      <c r="X24" t="str">
        <f t="shared" si="8"/>
        <v>Titan</v>
      </c>
      <c r="Y24" t="str">
        <f t="shared" si="3"/>
        <v>Chrom</v>
      </c>
      <c r="Z24" t="s">
        <v>989</v>
      </c>
      <c r="AA24" s="72" t="s">
        <v>26</v>
      </c>
      <c r="AB24" s="108"/>
      <c r="AC24" s="72"/>
      <c r="AD24" s="87" t="s">
        <v>5</v>
      </c>
      <c r="AE24" s="87" t="str">
        <f t="shared" si="9"/>
        <v>#REDIRECT [[Vanadium]]</v>
      </c>
      <c r="AG24" t="str">
        <f t="shared" si="14"/>
        <v>Vanadium</v>
      </c>
      <c r="AH24" t="str">
        <f t="shared" si="13"/>
        <v>Niob</v>
      </c>
      <c r="AK24" t="str">
        <f t="shared" si="4"/>
        <v xml:space="preserve"> wurde 1831 in Mexiko durch Sefström entdeckt.</v>
      </c>
      <c r="AN24" t="str">
        <f t="shared" si="12"/>
        <v>023</v>
      </c>
      <c r="AO24" t="s">
        <v>1235</v>
      </c>
      <c r="AP24" s="87" t="str">
        <f t="shared" si="1"/>
        <v>{{Element|Ordnungszahl=23|Symbol=V|Name=Vanadium|Atommasse=50,9415|EN=1,6|BP=3450 °C|MP=1900 °C|Dichte=6,09 g/cm³|Ionenradius=59|Ivolt=650,92|Aradius=132,1</v>
      </c>
      <c r="AQ24" s="87" t="str">
        <f t="shared" si="5"/>
        <v>|Enthalpie=514.2|IVolt2=1414,49|Wert=7|IVolt3=2828,1|Farbe=silbrig-weiß|Flamme=|Elektronenkonfiguration=[Ar] 4s2 3d3|EK-Wiki=[Ar] 4s&lt;sup&gt;2&lt;/sup&gt; 3d&lt;sup&gt;3&lt;/sup&gt;|pre=Titan|next=Chrom|Metall=Metall|E-Name=Vanadium|L-Name=</v>
      </c>
      <c r="AR24" s="87" t="str">
        <f t="shared" si="6"/>
        <v>|Verwendung=|Wortherkunft=Vanadium''', auch: Vanadin (v.altnord.: ''Vanadis'' [Name der germanischen Göttin der Schönheit Freya; nach dem farbenprächtigen Aussehen mancher V-Verbindungen]). Vanadinverbindungen zeigen eine große und schöne Farbenvielfalt. Deshalb benannte es Sefström nach Freya, der nordischen Göttin der Schönheit, die den Beinamen Vanadis trug.|L-Abk. bzw. redirect=#REDIRECT [[Vanadium]]|radioaktiv=|hoch=Vanadium|runter=Niob|Bild-Element=|Bild-Verwendung=|www= wurde 1831 in Mexiko durch Sefström entdeckt.|E-Gruppe=|Sonstiges-kurz=|OZ3=023|WL=Sammlung|Text= }}
[[Kategorie:Chemie]][[Kategorie:Chemikalien]]</v>
      </c>
      <c r="AS24" s="104" t="str">
        <f t="shared" si="2"/>
        <v>{{Element|Ordnungszahl=23|Symbol=V|Name=Vanadium|Atommasse=50,9415|EN=1,6|BP=3450 °C|MP=1900 °C|Dichte=6,09 g/cm³|Ionenradius=59|Ivolt=650,92|Aradius=132,1|Enthalpie=514.2|IVolt2=1414,49|Wert=7|IVolt3=2828,1|Farbe=silbrig-weiß|Flamme=|Elektronenkonfiguration=[Ar] 4s2 3d3|EK-Wiki=[Ar] 4s&lt;sup&gt;2&lt;/sup&gt; 3d&lt;sup&gt;3&lt;/sup&gt;|pre=Titan|next=Chrom|Metall=Metall|E-Name=Vanadium|L-Name=|Verwendung=|Wortherkunft=Vanadium''', auch: Vanadin (v.altnord.: ''Vanadis'' [Name der germanischen Göttin der Schönheit Freya; nach dem farbenprächtigen Aussehen mancher V-Verbindungen]). Vanadinverbindungen zeigen eine große und schöne Farbenvielfalt. Deshalb benannte es Sefström nach Freya, der nordischen Göttin der Schönheit, die den Beinamen Vanadis trug.|L-Abk. bzw. redirect=#REDIRECT [[Vanadium]]|radioaktiv=|hoch=Vanadium|runter=Niob|Bild-Element=|Bild-Verwendung=|www= wurde 1831 in Mexiko durch Sefström entdeckt.|E-Gruppe=|Sonstiges-kurz=|OZ3=023|WL=Sammlung|Text= }}
[[Kategorie:Chemie]][[Kategorie:Chemikalien]]</v>
      </c>
      <c r="AT24" t="str">
        <f t="shared" si="7"/>
        <v xml:space="preserve"> wurde 1831 in Mexiko durch Sefström entdeckt. http://www.webelements.com/webelements/elements/media/element-pics/V.jpg</v>
      </c>
    </row>
    <row r="25" spans="1:46" ht="345">
      <c r="A25">
        <v>24</v>
      </c>
      <c r="B25" t="s">
        <v>29</v>
      </c>
      <c r="C25" t="s">
        <v>30</v>
      </c>
      <c r="D25">
        <v>51.996099999999998</v>
      </c>
      <c r="E25">
        <v>1.6</v>
      </c>
      <c r="F25" t="s">
        <v>573</v>
      </c>
      <c r="G25" t="s">
        <v>572</v>
      </c>
      <c r="H25" t="s">
        <v>460</v>
      </c>
      <c r="I25">
        <v>1797</v>
      </c>
      <c r="J25" t="s">
        <v>195</v>
      </c>
      <c r="K25" t="s">
        <v>1080</v>
      </c>
      <c r="L25">
        <v>56</v>
      </c>
      <c r="M25">
        <v>124.9</v>
      </c>
      <c r="N25" s="103">
        <v>652.87</v>
      </c>
      <c r="P25" t="s">
        <v>31</v>
      </c>
      <c r="Q25" s="103">
        <v>1590.64</v>
      </c>
      <c r="R25">
        <v>9</v>
      </c>
      <c r="S25" s="103">
        <v>2987.21</v>
      </c>
      <c r="T25" t="s">
        <v>32</v>
      </c>
      <c r="V25" t="s">
        <v>792</v>
      </c>
      <c r="W25" t="s">
        <v>910</v>
      </c>
      <c r="X25" t="str">
        <f t="shared" si="8"/>
        <v>Vanadium</v>
      </c>
      <c r="Y25" t="str">
        <f t="shared" si="3"/>
        <v>Mangan</v>
      </c>
      <c r="Z25" t="s">
        <v>989</v>
      </c>
      <c r="AA25" s="72" t="s">
        <v>1040</v>
      </c>
      <c r="AB25" s="108"/>
      <c r="AC25" s="72"/>
      <c r="AD25" s="87" t="s">
        <v>1208</v>
      </c>
      <c r="AE25" s="87" t="str">
        <f t="shared" si="9"/>
        <v>#REDIRECT [[Chrom]]</v>
      </c>
      <c r="AG25" t="str">
        <f t="shared" si="14"/>
        <v>Chrom</v>
      </c>
      <c r="AH25" t="str">
        <f t="shared" si="13"/>
        <v>Molybdän</v>
      </c>
      <c r="AK25" t="str">
        <f t="shared" si="4"/>
        <v xml:space="preserve"> wurde 1797 in Frankreich durch Vauquelin entdeckt.</v>
      </c>
      <c r="AN25" t="str">
        <f t="shared" si="12"/>
        <v>024</v>
      </c>
      <c r="AO25" t="s">
        <v>1235</v>
      </c>
      <c r="AP25" s="87" t="str">
        <f t="shared" si="1"/>
        <v>{{Element|Ordnungszahl=24|Symbol=Cr|Name=Chrom|Atommasse=51,9961|EN=1,6|BP=2642 °C|MP=1900 °C|Dichte=7,14 g/cm³|Ionenradius=56|Ivolt=652,87|Aradius=124,9</v>
      </c>
      <c r="AQ25" s="87" t="str">
        <f t="shared" si="5"/>
        <v>|Enthalpie=396.6|IVolt2=1590,64|Wert=9|IVolt3=2987,21|Farbe=grau|Flamme=|Elektronenkonfiguration=[Ar] 4s1 3d5|EK-Wiki=[Ar] 4s&lt;sup&gt;1&lt;/sup&gt; 3d&lt;sup&gt;5&lt;/sup&gt;|pre=Vanadium|next=Mangan|Metall=Metall|E-Name=Chromium|L-Name=</v>
      </c>
      <c r="AR25" s="87" t="str">
        <f t="shared" si="6"/>
        <v>|Verwendung=|Wortherkunft=Chrom (von griech. chroma = Farbe (Die Salze von Chrom haben viele verschiedene Farben und werden oft als Pigmente in Farben und Lacke verwendet). 1761 entdeckte Johann Gottlob Lehmann ein orange-rotes Bleichromat-Mineral (PbCrO&lt;sub&gt;4&lt;/sub&gt;) im Ural_(Gebirge)|Ural, das er Rotbleierz nannte. Weil er es als eine Blei-Eisen-Selen-Verbindung identifizierte, blieb Chrom noch unentdeckt. 1770 fand Peter Simon Pallas an gleicher Stelle ein rotes Bleimineral, das wegen seiner Rotfärbung Krokoit (von griech. ''krokos'', safranfarben) genannt wurde. Die Verwendung von Rotbleierz als Farbpigment nahm schnell zu. Ein aus Krokoit gewonnenes strahlendes Gelb, das Chromgelb, wurde zur Modefarbe, vielen sicher noch als "Postgelb" in Erinnerung.|L-Abk. bzw. redirect=#REDIRECT [[Chrom]]|radioaktiv=|hoch=Chrom|runter=Molybdän|Bild-Element=|Bild-Verwendung=|www= wurde 1797 in Frankreich durch Vauquelin entdeckt.|E-Gruppe=|Sonstiges-kurz=|OZ3=024|WL=Sammlung|Text= }}
[[Kategorie:Chemie]][[Kategorie:Chemikalien]]</v>
      </c>
      <c r="AS25" s="104" t="str">
        <f t="shared" si="2"/>
        <v>{{Element|Ordnungszahl=24|Symbol=Cr|Name=Chrom|Atommasse=51,9961|EN=1,6|BP=2642 °C|MP=1900 °C|Dichte=7,14 g/cm³|Ionenradius=56|Ivolt=652,87|Aradius=124,9|Enthalpie=396.6|IVolt2=1590,64|Wert=9|IVolt3=2987,21|Farbe=grau|Flamme=|Elektronenkonfiguration=[Ar] 4s1 3d5|EK-Wiki=[Ar] 4s&lt;sup&gt;1&lt;/sup&gt; 3d&lt;sup&gt;5&lt;/sup&gt;|pre=Vanadium|next=Mangan|Metall=Metall|E-Name=Chromium|L-Name=|Verwendung=|Wortherkunft=Chrom (von griech. chroma = Farbe (Die Salze von Chrom haben viele verschiedene Farben und werden oft als Pigmente in Farben und Lacke verwendet). 1761 entdeckte Johann Gottlob Lehmann ein orange-rotes Bleichromat-Mineral (PbCrO&lt;sub&gt;4&lt;/sub&gt;) im Ural_(Gebirge)|Ural, das er Rotbleierz nannte. Weil er es als eine Blei-Eisen-Selen-Verbindung identifizierte, blieb Chrom noch unentdeckt. 1770 fand Peter Simon Pallas an gleicher Stelle ein rotes Bleimineral, das wegen seiner Rotfärbung Krokoit (von griech. ''krokos'', safranfarben) genannt wurde. Die Verwendung von Rotbleierz als Farbpigment nahm schnell zu. Ein aus Krokoit gewonnenes strahlendes Gelb, das Chromgelb, wurde zur Modefarbe, vielen sicher noch als "Postgelb" in Erinnerung.|L-Abk. bzw. redirect=#REDIRECT [[Chrom]]|radioaktiv=|hoch=Chrom|runter=Molybdän|Bild-Element=|Bild-Verwendung=|www= wurde 1797 in Frankreich durch Vauquelin entdeckt.|E-Gruppe=|Sonstiges-kurz=|OZ3=024|WL=Sammlung|Text= }}
[[Kategorie:Chemie]][[Kategorie:Chemikalien]]</v>
      </c>
      <c r="AT25" t="str">
        <f t="shared" si="7"/>
        <v xml:space="preserve"> wurde 1797 in Frankreich durch Vauquelin entdeckt. http://www.webelements.com/webelements/elements/media/element-pics/Cr.jpg</v>
      </c>
    </row>
    <row r="26" spans="1:46" ht="248.4">
      <c r="A26">
        <v>25</v>
      </c>
      <c r="B26" t="s">
        <v>33</v>
      </c>
      <c r="C26" t="s">
        <v>34</v>
      </c>
      <c r="D26">
        <v>54.938048999999999</v>
      </c>
      <c r="E26">
        <v>1.5</v>
      </c>
      <c r="F26" t="s">
        <v>574</v>
      </c>
      <c r="G26" t="s">
        <v>575</v>
      </c>
      <c r="H26" t="s">
        <v>461</v>
      </c>
      <c r="I26">
        <v>1774</v>
      </c>
      <c r="J26" t="s">
        <v>207</v>
      </c>
      <c r="K26" t="s">
        <v>1076</v>
      </c>
      <c r="L26">
        <v>70</v>
      </c>
      <c r="M26">
        <v>124</v>
      </c>
      <c r="N26" s="103">
        <v>717.28</v>
      </c>
      <c r="P26" t="s">
        <v>35</v>
      </c>
      <c r="Q26" s="103">
        <v>1509.04</v>
      </c>
      <c r="R26">
        <v>9</v>
      </c>
      <c r="S26" s="103">
        <v>3248.49</v>
      </c>
      <c r="T26" t="s">
        <v>1223</v>
      </c>
      <c r="V26" t="s">
        <v>793</v>
      </c>
      <c r="W26" t="s">
        <v>911</v>
      </c>
      <c r="X26" t="str">
        <f t="shared" si="8"/>
        <v>Chrom</v>
      </c>
      <c r="Y26" t="str">
        <f t="shared" si="3"/>
        <v>Eisen</v>
      </c>
      <c r="Z26" t="s">
        <v>989</v>
      </c>
      <c r="AA26" s="72" t="s">
        <v>1035</v>
      </c>
      <c r="AB26" s="108"/>
      <c r="AC26" s="72"/>
      <c r="AD26" s="87" t="s">
        <v>1242</v>
      </c>
      <c r="AE26" s="87" t="str">
        <f t="shared" si="9"/>
        <v>#REDIRECT [[Mangan]]</v>
      </c>
      <c r="AG26" t="str">
        <f t="shared" si="14"/>
        <v>Mangan</v>
      </c>
      <c r="AH26" t="str">
        <f t="shared" si="13"/>
        <v>Technetium</v>
      </c>
      <c r="AK26" t="str">
        <f t="shared" si="4"/>
        <v xml:space="preserve"> wurde 1774 in Schweden durch Gahn entdeckt.</v>
      </c>
      <c r="AN26" t="str">
        <f t="shared" si="12"/>
        <v>025</v>
      </c>
      <c r="AO26" t="s">
        <v>1235</v>
      </c>
      <c r="AP26" s="87" t="str">
        <f t="shared" si="1"/>
        <v>{{Element|Ordnungszahl=25|Symbol=Mn|Name=Mangan|Atommasse=54,938049|EN=1,5|BP=2100 °C|MP=1250 °C|Dichte=7,44 g/cm³|Ionenradius=70|Ivolt=717,28|Aradius=124</v>
      </c>
      <c r="AQ26" s="87" t="str">
        <f t="shared" si="5"/>
        <v>|Enthalpie=280.7|IVolt2=1509,04|Wert=9|IVolt3=3248,49|Farbe=silbrig-grau|Flamme=|Elektronenkonfiguration=[Ar] 4s2 3d5|EK-Wiki=[Ar] 4s&lt;sup&gt;2&lt;/sup&gt; 3d&lt;sup&gt;5&lt;/sup&gt;|pre=Chrom|next=Eisen|Metall=Metall|E-Name=Manganese|L-Name=</v>
      </c>
      <c r="AR26" s="87" t="str">
        <f t="shared" si="6"/>
        <v>|Verwendung=|Wortherkunft=Mangan kommt vom von französischen Wort manganèse (= schwarze Magnesia).|L-Abk. bzw. redirect=#REDIRECT [[Mangan]]|radioaktiv=|hoch=Mangan|runter=Technetium|Bild-Element=|Bild-Verwendung=|www= wurde 1774 in Schweden durch Gahn entdeckt.|E-Gruppe=|Sonstiges-kurz=|OZ3=025|WL=Sammlung|Text= }}
[[Kategorie:Chemie]][[Kategorie:Chemikalien]]</v>
      </c>
      <c r="AS26" s="104" t="str">
        <f t="shared" si="2"/>
        <v>{{Element|Ordnungszahl=25|Symbol=Mn|Name=Mangan|Atommasse=54,938049|EN=1,5|BP=2100 °C|MP=1250 °C|Dichte=7,44 g/cm³|Ionenradius=70|Ivolt=717,28|Aradius=124|Enthalpie=280.7|IVolt2=1509,04|Wert=9|IVolt3=3248,49|Farbe=silbrig-grau|Flamme=|Elektronenkonfiguration=[Ar] 4s2 3d5|EK-Wiki=[Ar] 4s&lt;sup&gt;2&lt;/sup&gt; 3d&lt;sup&gt;5&lt;/sup&gt;|pre=Chrom|next=Eisen|Metall=Metall|E-Name=Manganese|L-Name=|Verwendung=|Wortherkunft=Mangan kommt vom von französischen Wort manganèse (= schwarze Magnesia).|L-Abk. bzw. redirect=#REDIRECT [[Mangan]]|radioaktiv=|hoch=Mangan|runter=Technetium|Bild-Element=|Bild-Verwendung=|www= wurde 1774 in Schweden durch Gahn entdeckt.|E-Gruppe=|Sonstiges-kurz=|OZ3=025|WL=Sammlung|Text= }}
[[Kategorie:Chemie]][[Kategorie:Chemikalien]]</v>
      </c>
      <c r="AT26" t="str">
        <f t="shared" si="7"/>
        <v xml:space="preserve"> wurde 1774 in Schweden durch Gahn entdeckt. http://www.webelements.com/webelements/elements/media/element-pics/Mn.jpg</v>
      </c>
    </row>
    <row r="27" spans="1:46" ht="262.2">
      <c r="A27">
        <v>26</v>
      </c>
      <c r="B27" t="s">
        <v>36</v>
      </c>
      <c r="C27" t="s">
        <v>37</v>
      </c>
      <c r="D27">
        <v>55.844999999999999</v>
      </c>
      <c r="E27">
        <v>1.8</v>
      </c>
      <c r="F27" t="s">
        <v>576</v>
      </c>
      <c r="G27" t="s">
        <v>568</v>
      </c>
      <c r="H27" t="s">
        <v>462</v>
      </c>
      <c r="I27" t="s">
        <v>992</v>
      </c>
      <c r="L27">
        <v>67</v>
      </c>
      <c r="M27">
        <v>124.1</v>
      </c>
      <c r="N27" s="103">
        <v>762.47</v>
      </c>
      <c r="P27" t="s">
        <v>38</v>
      </c>
      <c r="Q27" s="103">
        <v>1561.9</v>
      </c>
      <c r="R27">
        <v>5</v>
      </c>
      <c r="S27" s="103">
        <v>2957.49</v>
      </c>
      <c r="T27" t="s">
        <v>1229</v>
      </c>
      <c r="V27" t="s">
        <v>794</v>
      </c>
      <c r="W27" t="s">
        <v>913</v>
      </c>
      <c r="X27" t="str">
        <f t="shared" si="8"/>
        <v>Mangan</v>
      </c>
      <c r="Y27" t="str">
        <f t="shared" si="3"/>
        <v>Cobalt</v>
      </c>
      <c r="Z27" t="s">
        <v>989</v>
      </c>
      <c r="AA27" s="72" t="s">
        <v>136</v>
      </c>
      <c r="AB27" s="107" t="s">
        <v>1151</v>
      </c>
      <c r="AC27" s="89"/>
      <c r="AD27" s="87"/>
      <c r="AE27" s="87" t="str">
        <f>CONCATENATE("&lt;b&gt;{{PAGENAME}}&lt;/b&gt; ist das chemische Symbol für das [[PSE|Element]] &lt;b&gt;&amp;rarr; [[",C27,"]]&lt;/b&gt;, von lateinisch ",AB27,".
[[Kategorie:Chemie]][[Kategorie:Chemikalien]]")</f>
        <v>&lt;b&gt;{{PAGENAME}}&lt;/b&gt; ist das chemische Symbol für das [[PSE|Element]] &lt;b&gt;&amp;rarr; [[Eisen]]&lt;/b&gt;, von lateinisch &lt;/b&gt;'Fe&lt;/b&gt;rrum&lt;/i&gt;.
[[Kategorie:Chemie]][[Kategorie:Chemikalien]]</v>
      </c>
      <c r="AG27" t="str">
        <f t="shared" si="14"/>
        <v>Eisen</v>
      </c>
      <c r="AH27" t="str">
        <f t="shared" si="13"/>
        <v>Ruthenium</v>
      </c>
      <c r="AK27" t="s">
        <v>1159</v>
      </c>
      <c r="AN27" t="str">
        <f t="shared" si="12"/>
        <v>026</v>
      </c>
      <c r="AO27" t="s">
        <v>1235</v>
      </c>
      <c r="AP27" s="87" t="str">
        <f t="shared" si="1"/>
        <v>{{Element|Ordnungszahl=26|Symbol=Fe|Name=Eisen|Atommasse=55,845|EN=1,8|BP=3000 °C|MP=1540 °C|Dichte=7,87 g/cm³|Ionenradius=67|Ivolt=762,47|Aradius=124,1</v>
      </c>
      <c r="AQ27" s="87" t="str">
        <f t="shared" si="5"/>
        <v>|Enthalpie=416.3|IVolt2=1561,9|Wert=5|IVolt3=2957,49|Farbe=silbrig-weiß|Flamme=|Elektronenkonfiguration=[Ar] 4s2 3d6|EK-Wiki=[Ar] 4s&lt;sup&gt;2&lt;/sup&gt; 3d&lt;sup&gt;6&lt;/sup&gt;|pre=Mangan|next=Cobalt|Metall=Metall|E-Name=Iron|L-Name=&lt;/b&gt;'Fe&lt;/b&gt;rrum&lt;/i&gt;</v>
      </c>
      <c r="AR27" s="87" t="str">
        <f t="shared" si="6"/>
        <v>|Verwendung=|Wortherkunft=|L-Abk. bzw. redirect=&lt;b&gt;{{PAGENAME}}&lt;/b&gt; ist das chemische Symbol für das [[PSE|Element]] &lt;b&gt;&amp;rarr; [[Eisen]]&lt;/b&gt;, von lateinisch &lt;/b&gt;'Fe&lt;/b&gt;rrum&lt;/i&gt;.
[[Kategorie:Chemie]][[Kategorie:Chemikalien]]|radioaktiv=|hoch=Eisen|runter=Ruthenium|Bild-Element=|Bild-Verwendung=|www= ist seit dem Altertum bekannt.|E-Gruppe=|Sonstiges-kurz=|OZ3=026|WL=Sammlung|Text= }}
[[Kategorie:Chemie]][[Kategorie:Chemikalien]]</v>
      </c>
      <c r="AS27" s="104" t="str">
        <f t="shared" si="2"/>
        <v>{{Element|Ordnungszahl=26|Symbol=Fe|Name=Eisen|Atommasse=55,845|EN=1,8|BP=3000 °C|MP=1540 °C|Dichte=7,87 g/cm³|Ionenradius=67|Ivolt=762,47|Aradius=124,1|Enthalpie=416.3|IVolt2=1561,9|Wert=5|IVolt3=2957,49|Farbe=silbrig-weiß|Flamme=|Elektronenkonfiguration=[Ar] 4s2 3d6|EK-Wiki=[Ar] 4s&lt;sup&gt;2&lt;/sup&gt; 3d&lt;sup&gt;6&lt;/sup&gt;|pre=Mangan|next=Cobalt|Metall=Metall|E-Name=Iron|L-Name=&lt;/b&gt;'Fe&lt;/b&gt;rrum&lt;/i&gt;|Verwendung=|Wortherkunft=|L-Abk. bzw. redirect=&lt;b&gt;{{PAGENAME}}&lt;/b&gt; ist das chemische Symbol für das [[PSE|Element]] &lt;b&gt;&amp;rarr; [[Eisen]]&lt;/b&gt;, von lateinisch &lt;/b&gt;'Fe&lt;/b&gt;rrum&lt;/i&gt;.
[[Kategorie:Chemie]][[Kategorie:Chemikalien]]|radioaktiv=|hoch=Eisen|runter=Ruthenium|Bild-Element=|Bild-Verwendung=|www= ist seit dem Altertum bekannt.|E-Gruppe=|Sonstiges-kurz=|OZ3=026|WL=Sammlung|Text= }}
[[Kategorie:Chemie]][[Kategorie:Chemikalien]]</v>
      </c>
      <c r="AT27" t="str">
        <f t="shared" si="7"/>
        <v xml:space="preserve"> ist seit dem Altertum bekannt. http://www.webelements.com/webelements/elements/media/element-pics/Fe.jpg</v>
      </c>
    </row>
    <row r="28" spans="1:46" ht="276">
      <c r="A28">
        <v>27</v>
      </c>
      <c r="B28" t="s">
        <v>39</v>
      </c>
      <c r="C28" t="s">
        <v>40</v>
      </c>
      <c r="D28">
        <v>58.933199999999999</v>
      </c>
      <c r="E28">
        <v>1.8</v>
      </c>
      <c r="F28" t="s">
        <v>577</v>
      </c>
      <c r="G28" t="s">
        <v>565</v>
      </c>
      <c r="H28" t="s">
        <v>463</v>
      </c>
      <c r="I28">
        <v>1735</v>
      </c>
      <c r="J28" t="s">
        <v>208</v>
      </c>
      <c r="K28" t="s">
        <v>1076</v>
      </c>
      <c r="L28">
        <v>64</v>
      </c>
      <c r="M28">
        <v>125.3</v>
      </c>
      <c r="N28" s="103">
        <v>760.41</v>
      </c>
      <c r="P28" t="s">
        <v>41</v>
      </c>
      <c r="Q28" s="103">
        <v>1648.27</v>
      </c>
      <c r="R28">
        <v>5</v>
      </c>
      <c r="S28" s="103">
        <v>3232.28</v>
      </c>
      <c r="T28" t="s">
        <v>1229</v>
      </c>
      <c r="V28" t="s">
        <v>795</v>
      </c>
      <c r="W28" t="s">
        <v>915</v>
      </c>
      <c r="X28" t="str">
        <f t="shared" si="8"/>
        <v>Eisen</v>
      </c>
      <c r="Y28" t="str">
        <f t="shared" si="3"/>
        <v>Nickel</v>
      </c>
      <c r="Z28" t="s">
        <v>989</v>
      </c>
      <c r="AA28" s="72" t="s">
        <v>40</v>
      </c>
      <c r="AB28" s="108"/>
      <c r="AC28" s="72"/>
      <c r="AD28" s="87" t="s">
        <v>143</v>
      </c>
      <c r="AE28" s="87" t="str">
        <f t="shared" si="9"/>
        <v>#REDIRECT [[Cobalt]]</v>
      </c>
      <c r="AG28" t="str">
        <f t="shared" si="14"/>
        <v>Cobalt</v>
      </c>
      <c r="AH28" t="str">
        <f t="shared" si="13"/>
        <v>Rhodium</v>
      </c>
      <c r="AK28" t="str">
        <f t="shared" si="4"/>
        <v xml:space="preserve"> wurde 1735 in Schweden durch Brandt entdeckt.</v>
      </c>
      <c r="AN28" t="str">
        <f t="shared" si="12"/>
        <v>027</v>
      </c>
      <c r="AO28" t="s">
        <v>1235</v>
      </c>
      <c r="AP28" s="87" t="str">
        <f t="shared" si="1"/>
        <v>{{Element|Ordnungszahl=27|Symbol=Co|Name=Cobalt|Atommasse=58,9332|EN=1,8|BP=2900 °C|MP=1490 °C|Dichte=8,89 g/cm³|Ionenradius=64|Ivolt=760,41|Aradius=125,3</v>
      </c>
      <c r="AQ28" s="87" t="str">
        <f t="shared" si="5"/>
        <v>|Enthalpie=424.7|IVolt2=1648,27|Wert=5|IVolt3=3232,28|Farbe=silbrig-weiß|Flamme=|Elektronenkonfiguration=[Ar] 4s2 3d7|EK-Wiki=[Ar] 4s&lt;sup&gt;2&lt;/sup&gt; 3d&lt;sup&gt;7&lt;/sup&gt;|pre=Eisen|next=Nickel|Metall=Metall|E-Name=Cobalt|L-Name=</v>
      </c>
      <c r="AR28" s="87" t="str">
        <f t="shared" si="6"/>
        <v>|Verwendung=|Wortherkunft=Der Name Kobalt leitet sich von Kobold ab, weil Kobolde in früherer Vorstellung Erze mit diesem (damals) unbearbeitbaren Mineral verunreinigten. Das Symbol Co leitet sich aus der lateinischen Bezeichnung cobaltum ab.|L-Abk. bzw. redirect=#REDIRECT [[Cobalt]]|radioaktiv=|hoch=Cobalt|runter=Rhodium|Bild-Element=|Bild-Verwendung=|www= wurde 1735 in Schweden durch Brandt entdeckt.|E-Gruppe=|Sonstiges-kurz=|OZ3=027|WL=Sammlung|Text= }}
[[Kategorie:Chemie]][[Kategorie:Chemikalien]]</v>
      </c>
      <c r="AS28" s="104" t="str">
        <f t="shared" si="2"/>
        <v>{{Element|Ordnungszahl=27|Symbol=Co|Name=Cobalt|Atommasse=58,9332|EN=1,8|BP=2900 °C|MP=1490 °C|Dichte=8,89 g/cm³|Ionenradius=64|Ivolt=760,41|Aradius=125,3|Enthalpie=424.7|IVolt2=1648,27|Wert=5|IVolt3=3232,28|Farbe=silbrig-weiß|Flamme=|Elektronenkonfiguration=[Ar] 4s2 3d7|EK-Wiki=[Ar] 4s&lt;sup&gt;2&lt;/sup&gt; 3d&lt;sup&gt;7&lt;/sup&gt;|pre=Eisen|next=Nickel|Metall=Metall|E-Name=Cobalt|L-Name=|Verwendung=|Wortherkunft=Der Name Kobalt leitet sich von Kobold ab, weil Kobolde in früherer Vorstellung Erze mit diesem (damals) unbearbeitbaren Mineral verunreinigten. Das Symbol Co leitet sich aus der lateinischen Bezeichnung cobaltum ab.|L-Abk. bzw. redirect=#REDIRECT [[Cobalt]]|radioaktiv=|hoch=Cobalt|runter=Rhodium|Bild-Element=|Bild-Verwendung=|www= wurde 1735 in Schweden durch Brandt entdeckt.|E-Gruppe=|Sonstiges-kurz=|OZ3=027|WL=Sammlung|Text= }}
[[Kategorie:Chemie]][[Kategorie:Chemikalien]]</v>
      </c>
      <c r="AT28" t="str">
        <f t="shared" si="7"/>
        <v xml:space="preserve"> wurde 1735 in Schweden durch Brandt entdeckt. http://www.webelements.com/webelements/elements/media/element-pics/Co.jpg</v>
      </c>
    </row>
    <row r="29" spans="1:46" ht="262.2">
      <c r="A29">
        <v>28</v>
      </c>
      <c r="B29" t="s">
        <v>42</v>
      </c>
      <c r="C29" t="s">
        <v>43</v>
      </c>
      <c r="D29">
        <v>58.693399999999997</v>
      </c>
      <c r="E29">
        <v>1.8</v>
      </c>
      <c r="F29" t="s">
        <v>567</v>
      </c>
      <c r="G29" t="s">
        <v>578</v>
      </c>
      <c r="H29" t="s">
        <v>464</v>
      </c>
      <c r="I29">
        <v>1751</v>
      </c>
      <c r="J29" t="s">
        <v>209</v>
      </c>
      <c r="K29" t="s">
        <v>1076</v>
      </c>
      <c r="L29">
        <v>62</v>
      </c>
      <c r="M29">
        <v>124.6</v>
      </c>
      <c r="N29" s="103">
        <v>737.13</v>
      </c>
      <c r="P29" t="s">
        <v>44</v>
      </c>
      <c r="Q29" s="103">
        <v>1753.04</v>
      </c>
      <c r="R29">
        <v>5</v>
      </c>
      <c r="S29" s="103">
        <v>3395.34</v>
      </c>
      <c r="T29" t="s">
        <v>1109</v>
      </c>
      <c r="V29" t="s">
        <v>796</v>
      </c>
      <c r="W29" t="s">
        <v>917</v>
      </c>
      <c r="X29" t="str">
        <f t="shared" si="8"/>
        <v>Cobalt</v>
      </c>
      <c r="Y29" t="str">
        <f t="shared" si="3"/>
        <v>Kupfer</v>
      </c>
      <c r="Z29" t="s">
        <v>989</v>
      </c>
      <c r="AA29" s="72" t="s">
        <v>43</v>
      </c>
      <c r="AB29" s="108"/>
      <c r="AC29" s="72"/>
      <c r="AD29" s="87" t="s">
        <v>144</v>
      </c>
      <c r="AE29" s="87" t="str">
        <f t="shared" si="9"/>
        <v>#REDIRECT [[Nickel]]</v>
      </c>
      <c r="AG29" t="str">
        <f t="shared" si="14"/>
        <v>Nickel</v>
      </c>
      <c r="AH29" t="str">
        <f t="shared" si="13"/>
        <v>Palladium</v>
      </c>
      <c r="AK29" t="str">
        <f t="shared" si="4"/>
        <v xml:space="preserve"> wurde 1751 in Schweden durch Cronstedt entdeckt.</v>
      </c>
      <c r="AN29" t="str">
        <f t="shared" si="12"/>
        <v>028</v>
      </c>
      <c r="AO29" t="s">
        <v>1235</v>
      </c>
      <c r="AP29" s="87" t="str">
        <f t="shared" si="1"/>
        <v>{{Element|Ordnungszahl=28|Symbol=Ni|Name=Nickel|Atommasse=58,6934|EN=1,8|BP=2730 °C|MP=1450 °C|Dichte=8,91 g/cm³|Ionenradius=62|Ivolt=737,13|Aradius=124,6</v>
      </c>
      <c r="AQ29" s="87" t="str">
        <f t="shared" si="5"/>
        <v>|Enthalpie=429.7|IVolt2=1753,04|Wert=5|IVolt3=3395,34|Farbe=weiß|Flamme=|Elektronenkonfiguration=[Ar] 4s2 3d8|EK-Wiki=[Ar] 4s&lt;sup&gt;2&lt;/sup&gt; 3d&lt;sup&gt;8&lt;/sup&gt;|pre=Cobalt|next=Kupfer|Metall=Metall|E-Name=Nickel|L-Name=</v>
      </c>
      <c r="AR29" s="87" t="str">
        <f t="shared" si="6"/>
        <v>|Verwendung=|Wortherkunft=Ähnlich wie beim Kobalt wurde hier ein Wort für böse Geister zum Namensgeber, man verwechselte das wertlose Nickel oft mit Silber und glaubte sich dann vom bösen Erdgeist „Nickel“ betrogen.|L-Abk. bzw. redirect=#REDIRECT [[Nickel]]|radioaktiv=|hoch=Nickel|runter=Palladium|Bild-Element=|Bild-Verwendung=|www= wurde 1751 in Schweden durch Cronstedt entdeckt.|E-Gruppe=|Sonstiges-kurz=|OZ3=028|WL=Sammlung|Text= }}
[[Kategorie:Chemie]][[Kategorie:Chemikalien]]</v>
      </c>
      <c r="AS29" s="104" t="str">
        <f t="shared" si="2"/>
        <v>{{Element|Ordnungszahl=28|Symbol=Ni|Name=Nickel|Atommasse=58,6934|EN=1,8|BP=2730 °C|MP=1450 °C|Dichte=8,91 g/cm³|Ionenradius=62|Ivolt=737,13|Aradius=124,6|Enthalpie=429.7|IVolt2=1753,04|Wert=5|IVolt3=3395,34|Farbe=weiß|Flamme=|Elektronenkonfiguration=[Ar] 4s2 3d8|EK-Wiki=[Ar] 4s&lt;sup&gt;2&lt;/sup&gt; 3d&lt;sup&gt;8&lt;/sup&gt;|pre=Cobalt|next=Kupfer|Metall=Metall|E-Name=Nickel|L-Name=|Verwendung=|Wortherkunft=Ähnlich wie beim Kobalt wurde hier ein Wort für böse Geister zum Namensgeber, man verwechselte das wertlose Nickel oft mit Silber und glaubte sich dann vom bösen Erdgeist „Nickel“ betrogen.|L-Abk. bzw. redirect=#REDIRECT [[Nickel]]|radioaktiv=|hoch=Nickel|runter=Palladium|Bild-Element=|Bild-Verwendung=|www= wurde 1751 in Schweden durch Cronstedt entdeckt.|E-Gruppe=|Sonstiges-kurz=|OZ3=028|WL=Sammlung|Text= }}
[[Kategorie:Chemie]][[Kategorie:Chemikalien]]</v>
      </c>
      <c r="AT29" t="str">
        <f t="shared" si="7"/>
        <v xml:space="preserve"> wurde 1751 in Schweden durch Cronstedt entdeckt. http://www.webelements.com/webelements/elements/media/element-pics/Ni.jpg</v>
      </c>
    </row>
    <row r="30" spans="1:46" ht="276">
      <c r="A30">
        <v>29</v>
      </c>
      <c r="B30" t="s">
        <v>45</v>
      </c>
      <c r="C30" t="s">
        <v>46</v>
      </c>
      <c r="D30">
        <v>63.545999999999999</v>
      </c>
      <c r="E30">
        <v>1.9</v>
      </c>
      <c r="F30" t="s">
        <v>579</v>
      </c>
      <c r="G30" t="s">
        <v>580</v>
      </c>
      <c r="H30" t="s">
        <v>465</v>
      </c>
      <c r="I30" t="s">
        <v>992</v>
      </c>
      <c r="L30">
        <v>72</v>
      </c>
      <c r="M30">
        <v>127.8</v>
      </c>
      <c r="N30" s="103">
        <v>745.49</v>
      </c>
      <c r="P30" t="s">
        <v>47</v>
      </c>
      <c r="Q30" s="103">
        <v>1957.93</v>
      </c>
      <c r="R30">
        <v>3</v>
      </c>
      <c r="S30" s="103">
        <v>3554.64</v>
      </c>
      <c r="T30" t="s">
        <v>48</v>
      </c>
      <c r="V30" t="s">
        <v>797</v>
      </c>
      <c r="W30" t="s">
        <v>919</v>
      </c>
      <c r="X30" t="str">
        <f t="shared" si="8"/>
        <v>Nickel</v>
      </c>
      <c r="Y30" t="str">
        <f t="shared" si="3"/>
        <v>Zink</v>
      </c>
      <c r="Z30" t="s">
        <v>989</v>
      </c>
      <c r="AA30" s="72" t="s">
        <v>135</v>
      </c>
      <c r="AB30" s="108" t="s">
        <v>1152</v>
      </c>
      <c r="AC30" s="72"/>
      <c r="AD30" s="87" t="s">
        <v>145</v>
      </c>
      <c r="AE30" s="87" t="str">
        <f>CONCATENATE("&lt;b&gt;{{PAGENAME}}&lt;/b&gt; ist das chemische Symbol für das [[PSE|Element]] &lt;b&gt;&amp;rarr; [[",C30,"]]&lt;/b&gt;, von lateinisch ",AB30,".
[[Kategorie:Chemie]][[Kategorie:Chemikalien]]")</f>
        <v>&lt;b&gt;{{PAGENAME}}&lt;/b&gt; ist das chemische Symbol für das [[PSE|Element]] &lt;b&gt;&amp;rarr; [[Kupfer]]&lt;/b&gt;, von lateinisch &lt;b&gt;&lt;i&gt;Cu&lt;/b&gt;prum&lt;/i&gt;.
[[Kategorie:Chemie]][[Kategorie:Chemikalien]]</v>
      </c>
      <c r="AG30" t="str">
        <f t="shared" si="14"/>
        <v>Kupfer</v>
      </c>
      <c r="AH30" t="str">
        <f t="shared" si="13"/>
        <v>Silber</v>
      </c>
      <c r="AK30" t="s">
        <v>1159</v>
      </c>
      <c r="AN30" t="str">
        <f t="shared" si="12"/>
        <v>029</v>
      </c>
      <c r="AO30" t="s">
        <v>1235</v>
      </c>
      <c r="AP30" s="87" t="str">
        <f t="shared" si="1"/>
        <v>{{Element|Ordnungszahl=29|Symbol=Cu|Name=Kupfer|Atommasse=63,546|EN=1,9|BP=2600 °C|MP=1083 °C|Dichte=8,92 g/cm³|Ionenradius=72|Ivolt=745,49|Aradius=127,8</v>
      </c>
      <c r="AQ30" s="87" t="str">
        <f t="shared" si="5"/>
        <v>|Enthalpie=338.3|IVolt2=1957,93|Wert=3|IVolt3=3554,64|Farbe=orange-rot|Flamme=|Elektronenkonfiguration=[Ar] 4s1 3d10|EK-Wiki=[Ar] 4s&lt;sup&gt;1&lt;/sup&gt; 3d&lt;sup&gt;10&lt;/sup&gt;|pre=Nickel|next=Zink|Metall=Metall|E-Name=Copper|L-Name=&lt;b&gt;&lt;i&gt;Cu&lt;/b&gt;prum&lt;/i&gt;</v>
      </c>
      <c r="AR30" s="87" t="str">
        <f t="shared" si="6"/>
        <v>|Verwendung=|Wortherkunft=Kupfer (von lat. cuprum: „Kupfer, Metall aus Zypern“).|L-Abk. bzw. redirect=&lt;b&gt;{{PAGENAME}}&lt;/b&gt; ist das chemische Symbol für das [[PSE|Element]] &lt;b&gt;&amp;rarr; [[Kupfer]]&lt;/b&gt;, von lateinisch &lt;b&gt;&lt;i&gt;Cu&lt;/b&gt;prum&lt;/i&gt;.
[[Kategorie:Chemie]][[Kategorie:Chemikalien]]|radioaktiv=|hoch=Kupfer|runter=Silber|Bild-Element=|Bild-Verwendung=|www= ist seit dem Altertum bekannt.|E-Gruppe=|Sonstiges-kurz=|OZ3=029|WL=Sammlung|Text= }}
[[Kategorie:Chemie]][[Kategorie:Chemikalien]]</v>
      </c>
      <c r="AS30" s="104" t="str">
        <f t="shared" si="2"/>
        <v>{{Element|Ordnungszahl=29|Symbol=Cu|Name=Kupfer|Atommasse=63,546|EN=1,9|BP=2600 °C|MP=1083 °C|Dichte=8,92 g/cm³|Ionenradius=72|Ivolt=745,49|Aradius=127,8|Enthalpie=338.3|IVolt2=1957,93|Wert=3|IVolt3=3554,64|Farbe=orange-rot|Flamme=|Elektronenkonfiguration=[Ar] 4s1 3d10|EK-Wiki=[Ar] 4s&lt;sup&gt;1&lt;/sup&gt; 3d&lt;sup&gt;10&lt;/sup&gt;|pre=Nickel|next=Zink|Metall=Metall|E-Name=Copper|L-Name=&lt;b&gt;&lt;i&gt;Cu&lt;/b&gt;prum&lt;/i&gt;|Verwendung=|Wortherkunft=Kupfer (von lat. cuprum: „Kupfer, Metall aus Zypern“).|L-Abk. bzw. redirect=&lt;b&gt;{{PAGENAME}}&lt;/b&gt; ist das chemische Symbol für das [[PSE|Element]] &lt;b&gt;&amp;rarr; [[Kupfer]]&lt;/b&gt;, von lateinisch &lt;b&gt;&lt;i&gt;Cu&lt;/b&gt;prum&lt;/i&gt;.
[[Kategorie:Chemie]][[Kategorie:Chemikalien]]|radioaktiv=|hoch=Kupfer|runter=Silber|Bild-Element=|Bild-Verwendung=|www= ist seit dem Altertum bekannt.|E-Gruppe=|Sonstiges-kurz=|OZ3=029|WL=Sammlung|Text= }}
[[Kategorie:Chemie]][[Kategorie:Chemikalien]]</v>
      </c>
      <c r="AT30" t="str">
        <f t="shared" si="7"/>
        <v xml:space="preserve"> ist seit dem Altertum bekannt. http://www.webelements.com/webelements/elements/media/element-pics/Cu.jpg</v>
      </c>
    </row>
    <row r="31" spans="1:46" ht="220.8">
      <c r="A31">
        <v>30</v>
      </c>
      <c r="B31" t="s">
        <v>49</v>
      </c>
      <c r="C31" t="s">
        <v>50</v>
      </c>
      <c r="D31">
        <v>65.409000000000006</v>
      </c>
      <c r="E31">
        <v>1.6</v>
      </c>
      <c r="F31" t="s">
        <v>581</v>
      </c>
      <c r="G31" t="s">
        <v>582</v>
      </c>
      <c r="H31" t="s">
        <v>460</v>
      </c>
      <c r="I31" t="s">
        <v>992</v>
      </c>
      <c r="L31">
        <v>83</v>
      </c>
      <c r="M31">
        <v>133.19999999999999</v>
      </c>
      <c r="N31" s="103">
        <v>906.41</v>
      </c>
      <c r="P31" t="s">
        <v>51</v>
      </c>
      <c r="Q31" s="103">
        <v>1733.31</v>
      </c>
      <c r="R31">
        <v>2</v>
      </c>
      <c r="S31" s="103">
        <v>3832.71</v>
      </c>
      <c r="T31" t="s">
        <v>52</v>
      </c>
      <c r="V31" t="s">
        <v>798</v>
      </c>
      <c r="W31" t="s">
        <v>920</v>
      </c>
      <c r="X31" t="str">
        <f t="shared" si="8"/>
        <v>Kupfer</v>
      </c>
      <c r="Y31" t="str">
        <f t="shared" si="3"/>
        <v>Gallium</v>
      </c>
      <c r="Z31" t="s">
        <v>989</v>
      </c>
      <c r="AA31" s="72" t="s">
        <v>1049</v>
      </c>
      <c r="AB31" s="108"/>
      <c r="AC31" s="72"/>
      <c r="AD31" s="87" t="s">
        <v>146</v>
      </c>
      <c r="AE31" s="87" t="str">
        <f t="shared" si="9"/>
        <v>#REDIRECT [[Zink]]</v>
      </c>
      <c r="AG31" t="str">
        <f t="shared" si="14"/>
        <v>Zink</v>
      </c>
      <c r="AH31" t="str">
        <f t="shared" si="13"/>
        <v>Cadmium</v>
      </c>
      <c r="AK31" t="s">
        <v>1159</v>
      </c>
      <c r="AN31" t="str">
        <f t="shared" si="12"/>
        <v>030</v>
      </c>
      <c r="AO31" t="s">
        <v>1235</v>
      </c>
      <c r="AP31" s="87" t="str">
        <f t="shared" si="1"/>
        <v>{{Element|Ordnungszahl=30|Symbol=Zn|Name=Zink|Atommasse=65,409|EN=1,6|BP=906 °C|MP=419 °C|Dichte=7,14 g/cm³|Ionenradius=83|Ivolt=906,41|Aradius=133,2</v>
      </c>
      <c r="AQ31" s="87" t="str">
        <f t="shared" si="5"/>
        <v>|Enthalpie=130.7|IVolt2=1733,31|Wert=2|IVolt3=3832,71|Farbe=blau-weiß|Flamme=|Elektronenkonfiguration=[Ar] 4s2 3d10|EK-Wiki=[Ar] 4s&lt;sup&gt;2&lt;/sup&gt; 3d&lt;sup&gt;10&lt;/sup&gt;|pre=Kupfer|next=Gallium|Metall=Metall|E-Name=Zinc|L-Name=</v>
      </c>
      <c r="AR31" s="87" t="str">
        <f t="shared" si="6"/>
        <v>|Verwendung=|Wortherkunft=Der Name Zink kommt von ''Zinke, Zind'' „Zahn, Zacke“, da Zink zackenförmig erstarrt.|L-Abk. bzw. redirect=#REDIRECT [[Zink]]|radioaktiv=|hoch=Zink|runter=Cadmium|Bild-Element=|Bild-Verwendung=|www= ist seit dem Altertum bekannt.|E-Gruppe=|Sonstiges-kurz=|OZ3=030|WL=Sammlung|Text= }}
[[Kategorie:Chemie]][[Kategorie:Chemikalien]]</v>
      </c>
      <c r="AS31" s="104" t="str">
        <f t="shared" si="2"/>
        <v>{{Element|Ordnungszahl=30|Symbol=Zn|Name=Zink|Atommasse=65,409|EN=1,6|BP=906 °C|MP=419 °C|Dichte=7,14 g/cm³|Ionenradius=83|Ivolt=906,41|Aradius=133,2|Enthalpie=130.7|IVolt2=1733,31|Wert=2|IVolt3=3832,71|Farbe=blau-weiß|Flamme=|Elektronenkonfiguration=[Ar] 4s2 3d10|EK-Wiki=[Ar] 4s&lt;sup&gt;2&lt;/sup&gt; 3d&lt;sup&gt;10&lt;/sup&gt;|pre=Kupfer|next=Gallium|Metall=Metall|E-Name=Zinc|L-Name=|Verwendung=|Wortherkunft=Der Name Zink kommt von ''Zinke, Zind'' „Zahn, Zacke“, da Zink zackenförmig erstarrt.|L-Abk. bzw. redirect=#REDIRECT [[Zink]]|radioaktiv=|hoch=Zink|runter=Cadmium|Bild-Element=|Bild-Verwendung=|www= ist seit dem Altertum bekannt.|E-Gruppe=|Sonstiges-kurz=|OZ3=030|WL=Sammlung|Text= }}
[[Kategorie:Chemie]][[Kategorie:Chemikalien]]</v>
      </c>
      <c r="AT31" t="str">
        <f t="shared" si="7"/>
        <v xml:space="preserve"> ist seit dem Altertum bekannt. http://www.webelements.com/webelements/elements/media/element-pics/Zn.jpg</v>
      </c>
    </row>
    <row r="32" spans="1:46" ht="289.8">
      <c r="A32">
        <v>31</v>
      </c>
      <c r="B32" t="s">
        <v>53</v>
      </c>
      <c r="C32" t="s">
        <v>54</v>
      </c>
      <c r="D32">
        <v>69.722999999999999</v>
      </c>
      <c r="E32">
        <v>1.6</v>
      </c>
      <c r="F32" t="s">
        <v>583</v>
      </c>
      <c r="G32" t="s">
        <v>584</v>
      </c>
      <c r="H32" t="s">
        <v>466</v>
      </c>
      <c r="I32">
        <v>1875</v>
      </c>
      <c r="J32" t="s">
        <v>210</v>
      </c>
      <c r="K32" t="s">
        <v>1080</v>
      </c>
      <c r="L32">
        <v>62</v>
      </c>
      <c r="M32">
        <v>122.1</v>
      </c>
      <c r="N32" s="103">
        <v>578.85</v>
      </c>
      <c r="P32">
        <v>277</v>
      </c>
      <c r="Q32" s="103">
        <v>1979.33</v>
      </c>
      <c r="R32">
        <v>3</v>
      </c>
      <c r="S32" s="103">
        <v>2963.09</v>
      </c>
      <c r="T32" t="s">
        <v>1229</v>
      </c>
      <c r="V32" t="s">
        <v>799</v>
      </c>
      <c r="W32" t="s">
        <v>921</v>
      </c>
      <c r="X32" t="str">
        <f t="shared" si="8"/>
        <v>Zink</v>
      </c>
      <c r="Y32" t="str">
        <f t="shared" si="3"/>
        <v>Germanium</v>
      </c>
      <c r="Z32" t="s">
        <v>989</v>
      </c>
      <c r="AA32" s="72" t="s">
        <v>54</v>
      </c>
      <c r="AB32" s="108"/>
      <c r="AC32" s="72"/>
      <c r="AD32" s="87" t="s">
        <v>147</v>
      </c>
      <c r="AE32" s="87" t="str">
        <f t="shared" si="9"/>
        <v>#REDIRECT [[Gallium]]</v>
      </c>
      <c r="AG32" t="str">
        <f>C14</f>
        <v>Aluminium</v>
      </c>
      <c r="AH32" t="str">
        <f t="shared" si="13"/>
        <v>Indium</v>
      </c>
      <c r="AK32" t="str">
        <f t="shared" si="4"/>
        <v xml:space="preserve"> wurde 1875 in Frankreich durch de Boisbaudran entdeckt.</v>
      </c>
      <c r="AN32" t="str">
        <f t="shared" si="12"/>
        <v>031</v>
      </c>
      <c r="AO32" t="s">
        <v>1236</v>
      </c>
      <c r="AP32" s="87" t="str">
        <f t="shared" si="1"/>
        <v>{{Element|Ordnungszahl=31|Symbol=Ga|Name=Gallium|Atommasse=69,723|EN=1,6|BP=2400 °C|MP=30 °C|Dichte=5,91 g/cm³|Ionenradius=62|Ivolt=578,85|Aradius=122,1</v>
      </c>
      <c r="AQ32" s="87" t="str">
        <f t="shared" si="5"/>
        <v>|Enthalpie=277|IVolt2=1979,33|Wert=3|IVolt3=2963,09|Farbe=silbrig-weiß|Flamme=|Elektronenkonfiguration=[Ar] 4s2 3d10 4p1|EK-Wiki=[Ar] 4s&lt;sup&gt;2&lt;/sup&gt; 3d&lt;sup&gt;10&lt;/sup&gt; 4p&lt;sup&gt;1&lt;/sup&gt;|pre=Zink|next=Germanium|Metall=Metall|E-Name=Gallium|L-Name=</v>
      </c>
      <c r="AR32" s="87" t="str">
        <f t="shared" si="6"/>
        <v>|Verwendung=|Wortherkunft=Gallium ist benannt nach ''Gallien'', dem lateinischen Namen für Frankreich. Möglich wäre auch, dass sich der Entdecker hier selbst verewigt hat, denn ''Le coq'' ist französisch und bedeutet ''der Hahn'', der auf lateinisch ''gallus'' heißt.|L-Abk. bzw. redirect=#REDIRECT [[Gallium]]|radioaktiv=|hoch=Aluminium|runter=Indium|Bild-Element=|Bild-Verwendung=|www= wurde 1875 in Frankreich durch de Boisbaudran entdeckt.|E-Gruppe=|Sonstiges-kurz=|OZ3=031|WL=nichda|Text= }}
[[Kategorie:Chemie]][[Kategorie:Chemikalien]]</v>
      </c>
      <c r="AS32" s="104" t="str">
        <f t="shared" si="2"/>
        <v>{{Element|Ordnungszahl=31|Symbol=Ga|Name=Gallium|Atommasse=69,723|EN=1,6|BP=2400 °C|MP=30 °C|Dichte=5,91 g/cm³|Ionenradius=62|Ivolt=578,85|Aradius=122,1|Enthalpie=277|IVolt2=1979,33|Wert=3|IVolt3=2963,09|Farbe=silbrig-weiß|Flamme=|Elektronenkonfiguration=[Ar] 4s2 3d10 4p1|EK-Wiki=[Ar] 4s&lt;sup&gt;2&lt;/sup&gt; 3d&lt;sup&gt;10&lt;/sup&gt; 4p&lt;sup&gt;1&lt;/sup&gt;|pre=Zink|next=Germanium|Metall=Metall|E-Name=Gallium|L-Name=|Verwendung=|Wortherkunft=Gallium ist benannt nach ''Gallien'', dem lateinischen Namen für Frankreich. Möglich wäre auch, dass sich der Entdecker hier selbst verewigt hat, denn ''Le coq'' ist französisch und bedeutet ''der Hahn'', der auf lateinisch ''gallus'' heißt.|L-Abk. bzw. redirect=#REDIRECT [[Gallium]]|radioaktiv=|hoch=Aluminium|runter=Indium|Bild-Element=|Bild-Verwendung=|www= wurde 1875 in Frankreich durch de Boisbaudran entdeckt.|E-Gruppe=|Sonstiges-kurz=|OZ3=031|WL=nichda|Text= }}
[[Kategorie:Chemie]][[Kategorie:Chemikalien]]</v>
      </c>
      <c r="AT32" t="str">
        <f t="shared" si="7"/>
        <v xml:space="preserve"> wurde 1875 in Frankreich durch de Boisbaudran entdeckt. http://www.webelements.com/webelements/elements/media/element-pics/Ga.jpg</v>
      </c>
    </row>
    <row r="33" spans="1:46" ht="248.4">
      <c r="A33">
        <v>32</v>
      </c>
      <c r="B33" t="s">
        <v>55</v>
      </c>
      <c r="C33" t="s">
        <v>56</v>
      </c>
      <c r="D33">
        <v>72.64</v>
      </c>
      <c r="E33">
        <v>1.8</v>
      </c>
      <c r="F33" t="s">
        <v>585</v>
      </c>
      <c r="G33" t="s">
        <v>586</v>
      </c>
      <c r="H33" t="s">
        <v>467</v>
      </c>
      <c r="I33">
        <v>1886</v>
      </c>
      <c r="J33" t="s">
        <v>211</v>
      </c>
      <c r="K33" t="s">
        <v>1120</v>
      </c>
      <c r="L33">
        <v>53</v>
      </c>
      <c r="M33">
        <v>122.5</v>
      </c>
      <c r="N33" s="103">
        <v>762.18</v>
      </c>
      <c r="P33" t="s">
        <v>57</v>
      </c>
      <c r="Q33" s="103">
        <v>1537.47</v>
      </c>
      <c r="R33">
        <v>6</v>
      </c>
      <c r="S33" s="103">
        <v>3302.15</v>
      </c>
      <c r="T33" t="s">
        <v>1082</v>
      </c>
      <c r="V33" t="s">
        <v>800</v>
      </c>
      <c r="W33" t="s">
        <v>922</v>
      </c>
      <c r="X33" t="str">
        <f t="shared" si="8"/>
        <v>Gallium</v>
      </c>
      <c r="Y33" t="str">
        <f t="shared" si="3"/>
        <v>Arsen</v>
      </c>
      <c r="Z33" t="s">
        <v>991</v>
      </c>
      <c r="AA33" s="72" t="s">
        <v>56</v>
      </c>
      <c r="AB33" s="108"/>
      <c r="AC33" s="72"/>
      <c r="AD33" s="87" t="s">
        <v>148</v>
      </c>
      <c r="AE33" s="87" t="str">
        <f t="shared" si="9"/>
        <v>#REDIRECT [[Germanium]]</v>
      </c>
      <c r="AG33" t="str">
        <f>C15</f>
        <v>Silicium</v>
      </c>
      <c r="AH33" t="str">
        <f t="shared" si="13"/>
        <v>Zinn</v>
      </c>
      <c r="AK33" t="str">
        <f t="shared" si="4"/>
        <v xml:space="preserve"> wurde 1886 in Deutschland durch Winkler entdeckt.</v>
      </c>
      <c r="AN33" t="str">
        <f t="shared" si="12"/>
        <v>032</v>
      </c>
      <c r="AO33" t="s">
        <v>1235</v>
      </c>
      <c r="AP33" s="87" t="str">
        <f t="shared" si="1"/>
        <v>{{Element|Ordnungszahl=32|Symbol=Ge|Name=Germanium|Atommasse=72,64|EN=1,8|BP=2830 °C|MP=937 °C|Dichte=5,32 g/cm³|Ionenradius=53|Ivolt=762,18|Aradius=122,5</v>
      </c>
      <c r="AQ33" s="87" t="str">
        <f t="shared" si="5"/>
        <v>|Enthalpie=376.6|IVolt2=1537,47|Wert=6|IVolt3=3302,15|Farbe=grau-weiß|Flamme=|Elektronenkonfiguration=[Ar] 4s2 3d10 4p2|EK-Wiki=[Ar] 4s&lt;sup&gt;2&lt;/sup&gt; 3d&lt;sup&gt;10&lt;/sup&gt; 4p&lt;sup&gt;2&lt;/sup&gt;|pre=Gallium|next=Arsen|Metall=Halbmetall|E-Name=Germanium|L-Name=</v>
      </c>
      <c r="AR33" s="87" t="str">
        <f t="shared" si="6"/>
        <v>|Verwendung=|Wortherkunft=Germanium (von lat. ''Germania'' "Deutschland", dem Vaterland des Entdeckers Clemens Winkler.|L-Abk. bzw. redirect=#REDIRECT [[Germanium]]|radioaktiv=|hoch=Silicium|runter=Zinn|Bild-Element=|Bild-Verwendung=|www= wurde 1886 in Deutschland durch Winkler entdeckt.|E-Gruppe=|Sonstiges-kurz=|OZ3=032|WL=Sammlung|Text= }}
[[Kategorie:Chemie]][[Kategorie:Chemikalien]]</v>
      </c>
      <c r="AS33" s="104" t="str">
        <f t="shared" si="2"/>
        <v>{{Element|Ordnungszahl=32|Symbol=Ge|Name=Germanium|Atommasse=72,64|EN=1,8|BP=2830 °C|MP=937 °C|Dichte=5,32 g/cm³|Ionenradius=53|Ivolt=762,18|Aradius=122,5|Enthalpie=376.6|IVolt2=1537,47|Wert=6|IVolt3=3302,15|Farbe=grau-weiß|Flamme=|Elektronenkonfiguration=[Ar] 4s2 3d10 4p2|EK-Wiki=[Ar] 4s&lt;sup&gt;2&lt;/sup&gt; 3d&lt;sup&gt;10&lt;/sup&gt; 4p&lt;sup&gt;2&lt;/sup&gt;|pre=Gallium|next=Arsen|Metall=Halbmetall|E-Name=Germanium|L-Name=|Verwendung=|Wortherkunft=Germanium (von lat. ''Germania'' "Deutschland", dem Vaterland des Entdeckers Clemens Winkler.|L-Abk. bzw. redirect=#REDIRECT [[Germanium]]|radioaktiv=|hoch=Silicium|runter=Zinn|Bild-Element=|Bild-Verwendung=|www= wurde 1886 in Deutschland durch Winkler entdeckt.|E-Gruppe=|Sonstiges-kurz=|OZ3=032|WL=Sammlung|Text= }}
[[Kategorie:Chemie]][[Kategorie:Chemikalien]]</v>
      </c>
      <c r="AT33" t="str">
        <f t="shared" si="7"/>
        <v xml:space="preserve"> wurde 1886 in Deutschland durch Winkler entdeckt. http://www.webelements.com/webelements/elements/media/element-pics/Ge.jpg</v>
      </c>
    </row>
    <row r="34" spans="1:46" ht="331.2">
      <c r="A34">
        <v>33</v>
      </c>
      <c r="B34" t="s">
        <v>58</v>
      </c>
      <c r="C34" t="s">
        <v>59</v>
      </c>
      <c r="D34">
        <v>74.921599999999998</v>
      </c>
      <c r="E34">
        <v>2</v>
      </c>
      <c r="F34" t="s">
        <v>587</v>
      </c>
      <c r="G34" t="s">
        <v>588</v>
      </c>
      <c r="H34" t="s">
        <v>468</v>
      </c>
      <c r="I34" t="s">
        <v>992</v>
      </c>
      <c r="K34" t="s">
        <v>1120</v>
      </c>
      <c r="L34">
        <v>46</v>
      </c>
      <c r="M34">
        <v>125</v>
      </c>
      <c r="N34" s="103">
        <v>944.46</v>
      </c>
      <c r="P34" t="s">
        <v>60</v>
      </c>
      <c r="Q34" s="103">
        <v>1797.82</v>
      </c>
      <c r="R34">
        <v>8</v>
      </c>
      <c r="S34" s="103">
        <v>2735.48</v>
      </c>
      <c r="T34" t="s">
        <v>32</v>
      </c>
      <c r="V34" t="s">
        <v>801</v>
      </c>
      <c r="W34" t="s">
        <v>923</v>
      </c>
      <c r="X34" t="str">
        <f t="shared" si="8"/>
        <v>Germanium</v>
      </c>
      <c r="Y34" t="str">
        <f t="shared" si="3"/>
        <v>Selen</v>
      </c>
      <c r="Z34" t="s">
        <v>991</v>
      </c>
      <c r="AA34" s="72" t="s">
        <v>1023</v>
      </c>
      <c r="AB34" s="108"/>
      <c r="AC34" s="72"/>
      <c r="AD34" s="87" t="s">
        <v>149</v>
      </c>
      <c r="AE34" s="87" t="str">
        <f t="shared" si="9"/>
        <v>#REDIRECT [[Arsen]]</v>
      </c>
      <c r="AG34" t="s">
        <v>1119</v>
      </c>
      <c r="AH34" t="str">
        <f t="shared" si="13"/>
        <v>Antimon</v>
      </c>
      <c r="AK34" t="s">
        <v>1159</v>
      </c>
      <c r="AN34" t="str">
        <f t="shared" si="12"/>
        <v>033</v>
      </c>
      <c r="AO34" t="s">
        <v>1236</v>
      </c>
      <c r="AP34" s="87" t="str">
        <f t="shared" ref="AP34:AP65" si="15">CONCATENATE("{{Element|Ordnungszahl=",A34,"|Symbol=",B34,"|Name=",C34,"|Atommasse=",D34,"|EN=",E34,"|BP=",F34,"|MP=",G34,"|Dichte=",H34,"|Ionenradius=",L34,"|Ivolt=",N34,"|Aradius=",M34)</f>
        <v>{{Element|Ordnungszahl=33|Symbol=As|Name=Arsen|Atommasse=74,9216|EN=2|BP=613 °C|MP=817 °C|Dichte=5,72 g/cm³|Ionenradius=46|Ivolt=944,46|Aradius=125</v>
      </c>
      <c r="AQ34" s="87" t="str">
        <f t="shared" si="5"/>
        <v>|Enthalpie=302.5|IVolt2=1797,82|Wert=8|IVolt3=2735,48|Farbe=grau|Flamme=|Elektronenkonfiguration=[Ar] 4s2 3d10 4p3|EK-Wiki=[Ar] 4s&lt;sup&gt;2&lt;/sup&gt; 3d&lt;sup&gt;10&lt;/sup&gt; 4p&lt;sup&gt;3&lt;/sup&gt;|pre=Germanium|next=Selen|Metall=Halbmetall|E-Name=Arsenic|L-Name=</v>
      </c>
      <c r="AR34" s="87" t="str">
        <f t="shared" si="6"/>
        <v>|Verwendung=|Wortherkunft=Der Name Arsen geht unmittelbar auf das griechische arsenikón zurück, die Bezeichnung des Arsenminerals Auripigment. Die griechische Bezeichnung scheint ihrerseits ihren Ursprung im Mittelpersischen al-zarnik (= goldfarben) zu haben und gelangte wohl durch semitische Vermittlung ins Griechische. Volksetymologisch wurde der Name fälschlicherweise vom griechischen Wort arsenikós abgeleitet, das sich etwa mit männlich/stark übersetzen lässt.|L-Abk. bzw. redirect=#REDIRECT [[Arsen]]|radioaktiv=|hoch=Phosphor|runter=Antimon|Bild-Element=|Bild-Verwendung=|www= ist seit dem Altertum bekannt.|E-Gruppe=|Sonstiges-kurz=|OZ3=033|WL=nichda|Text= }}
[[Kategorie:Chemie]][[Kategorie:Chemikalien]]</v>
      </c>
      <c r="AS34" s="104" t="str">
        <f t="shared" si="2"/>
        <v>{{Element|Ordnungszahl=33|Symbol=As|Name=Arsen|Atommasse=74,9216|EN=2|BP=613 °C|MP=817 °C|Dichte=5,72 g/cm³|Ionenradius=46|Ivolt=944,46|Aradius=125|Enthalpie=302.5|IVolt2=1797,82|Wert=8|IVolt3=2735,48|Farbe=grau|Flamme=|Elektronenkonfiguration=[Ar] 4s2 3d10 4p3|EK-Wiki=[Ar] 4s&lt;sup&gt;2&lt;/sup&gt; 3d&lt;sup&gt;10&lt;/sup&gt; 4p&lt;sup&gt;3&lt;/sup&gt;|pre=Germanium|next=Selen|Metall=Halbmetall|E-Name=Arsenic|L-Name=|Verwendung=|Wortherkunft=Der Name Arsen geht unmittelbar auf das griechische arsenikón zurück, die Bezeichnung des Arsenminerals Auripigment. Die griechische Bezeichnung scheint ihrerseits ihren Ursprung im Mittelpersischen al-zarnik (= goldfarben) zu haben und gelangte wohl durch semitische Vermittlung ins Griechische. Volksetymologisch wurde der Name fälschlicherweise vom griechischen Wort arsenikós abgeleitet, das sich etwa mit männlich/stark übersetzen lässt.|L-Abk. bzw. redirect=#REDIRECT [[Arsen]]|radioaktiv=|hoch=Phosphor|runter=Antimon|Bild-Element=|Bild-Verwendung=|www= ist seit dem Altertum bekannt.|E-Gruppe=|Sonstiges-kurz=|OZ3=033|WL=nichda|Text= }}
[[Kategorie:Chemie]][[Kategorie:Chemikalien]]</v>
      </c>
      <c r="AT34" t="str">
        <f t="shared" ref="AT34:AT65" si="16">CONCATENATE(AK34," http://www.webelements.com/webelements/elements/media/element-pics/",B34,".jpg")</f>
        <v xml:space="preserve"> ist seit dem Altertum bekannt. http://www.webelements.com/webelements/elements/media/element-pics/As.jpg</v>
      </c>
    </row>
    <row r="35" spans="1:46" ht="262.2">
      <c r="A35">
        <v>34</v>
      </c>
      <c r="B35" t="s">
        <v>61</v>
      </c>
      <c r="C35" t="s">
        <v>62</v>
      </c>
      <c r="D35">
        <v>78.959999999999994</v>
      </c>
      <c r="E35">
        <v>2.4</v>
      </c>
      <c r="F35" t="s">
        <v>589</v>
      </c>
      <c r="G35" t="s">
        <v>590</v>
      </c>
      <c r="H35" t="s">
        <v>469</v>
      </c>
      <c r="I35">
        <v>1817</v>
      </c>
      <c r="J35" t="s">
        <v>178</v>
      </c>
      <c r="K35" t="s">
        <v>1076</v>
      </c>
      <c r="L35">
        <v>69</v>
      </c>
      <c r="M35">
        <v>116</v>
      </c>
      <c r="N35" s="103">
        <v>940.97</v>
      </c>
      <c r="P35" t="s">
        <v>63</v>
      </c>
      <c r="Q35" s="103">
        <v>2044.54</v>
      </c>
      <c r="R35">
        <v>2</v>
      </c>
      <c r="S35" s="103">
        <v>2973.74</v>
      </c>
      <c r="T35" t="s">
        <v>1117</v>
      </c>
      <c r="V35" t="s">
        <v>802</v>
      </c>
      <c r="W35" t="s">
        <v>924</v>
      </c>
      <c r="X35" t="str">
        <f t="shared" si="8"/>
        <v>Arsen</v>
      </c>
      <c r="Y35" t="str">
        <f t="shared" si="3"/>
        <v>Brom</v>
      </c>
      <c r="Z35" t="s">
        <v>991</v>
      </c>
      <c r="AA35" s="72" t="s">
        <v>1032</v>
      </c>
      <c r="AB35" s="108"/>
      <c r="AC35" s="72"/>
      <c r="AD35" s="87" t="s">
        <v>150</v>
      </c>
      <c r="AE35" s="87" t="str">
        <f t="shared" si="9"/>
        <v>#REDIRECT [[Selen]]</v>
      </c>
      <c r="AG35" t="str">
        <f>C17</f>
        <v>Schwefel</v>
      </c>
      <c r="AH35" t="str">
        <f t="shared" si="13"/>
        <v>Tellur</v>
      </c>
      <c r="AK35" t="str">
        <f t="shared" si="4"/>
        <v xml:space="preserve"> wurde 1817 in Schweden durch Berzelius entdeckt.</v>
      </c>
      <c r="AN35" t="str">
        <f t="shared" si="12"/>
        <v>034</v>
      </c>
      <c r="AO35" t="s">
        <v>1235</v>
      </c>
      <c r="AP35" s="87" t="str">
        <f t="shared" si="15"/>
        <v>{{Element|Ordnungszahl=34|Symbol=Se|Name=Selen|Atommasse=78,96|EN=2,4|BP=685 °C|MP=217 °C|Dichte=4,82 g/cm³|Ionenradius=69|Ivolt=940,97|Aradius=116</v>
      </c>
      <c r="AQ35" s="87" t="str">
        <f t="shared" si="5"/>
        <v>|Enthalpie=227.1|IVolt2=2044,54|Wert=2|IVolt3=2973,74|Farbe=dunkelgrau|Flamme=|Elektronenkonfiguration=[Ar] 4s2 3d10 4p4|EK-Wiki=[Ar] 4s&lt;sup&gt;2&lt;/sup&gt; 3d&lt;sup&gt;10&lt;/sup&gt; 4p&lt;sup&gt;4&lt;/sup&gt;|pre=Arsen|next=Brom|Metall=Halbmetall|E-Name=Selenium|L-Name=</v>
      </c>
      <c r="AR35" s="87" t="str">
        <f t="shared" si="6"/>
        <v>|Verwendung=|Wortherkunft=Selen – benannt nach der griechischen Mondgöttin Selene - wurde im Bleikammerschlamm einer Schwefelsäurefabrik entdeckt, der neben Selen auch Tellur (von lat. ''tellus'' für ''Erde'') enthielt.|L-Abk. bzw. redirect=#REDIRECT [[Selen]]|radioaktiv=|hoch=Schwefel|runter=Tellur|Bild-Element=|Bild-Verwendung=|www= wurde 1817 in Schweden durch Berzelius entdeckt.|E-Gruppe=|Sonstiges-kurz=|OZ3=034|WL=Sammlung|Text= }}
[[Kategorie:Chemie]][[Kategorie:Chemikalien]]</v>
      </c>
      <c r="AS35" s="104" t="str">
        <f t="shared" si="2"/>
        <v>{{Element|Ordnungszahl=34|Symbol=Se|Name=Selen|Atommasse=78,96|EN=2,4|BP=685 °C|MP=217 °C|Dichte=4,82 g/cm³|Ionenradius=69|Ivolt=940,97|Aradius=116|Enthalpie=227.1|IVolt2=2044,54|Wert=2|IVolt3=2973,74|Farbe=dunkelgrau|Flamme=|Elektronenkonfiguration=[Ar] 4s2 3d10 4p4|EK-Wiki=[Ar] 4s&lt;sup&gt;2&lt;/sup&gt; 3d&lt;sup&gt;10&lt;/sup&gt; 4p&lt;sup&gt;4&lt;/sup&gt;|pre=Arsen|next=Brom|Metall=Halbmetall|E-Name=Selenium|L-Name=|Verwendung=|Wortherkunft=Selen – benannt nach der griechischen Mondgöttin Selene - wurde im Bleikammerschlamm einer Schwefelsäurefabrik entdeckt, der neben Selen auch Tellur (von lat. ''tellus'' für ''Erde'') enthielt.|L-Abk. bzw. redirect=#REDIRECT [[Selen]]|radioaktiv=|hoch=Schwefel|runter=Tellur|Bild-Element=|Bild-Verwendung=|www= wurde 1817 in Schweden durch Berzelius entdeckt.|E-Gruppe=|Sonstiges-kurz=|OZ3=034|WL=Sammlung|Text= }}
[[Kategorie:Chemie]][[Kategorie:Chemikalien]]</v>
      </c>
      <c r="AT35" t="str">
        <f t="shared" si="16"/>
        <v xml:space="preserve"> wurde 1817 in Schweden durch Berzelius entdeckt. http://www.webelements.com/webelements/elements/media/element-pics/Se.jpg</v>
      </c>
    </row>
    <row r="36" spans="1:46" ht="248.4">
      <c r="A36">
        <v>35</v>
      </c>
      <c r="B36" t="s">
        <v>64</v>
      </c>
      <c r="C36" t="s">
        <v>65</v>
      </c>
      <c r="D36">
        <v>79.903999999999996</v>
      </c>
      <c r="E36">
        <v>2.9</v>
      </c>
      <c r="F36" t="s">
        <v>591</v>
      </c>
      <c r="G36" t="s">
        <v>592</v>
      </c>
      <c r="H36" t="s">
        <v>470</v>
      </c>
      <c r="I36">
        <v>1825</v>
      </c>
      <c r="J36" t="s">
        <v>212</v>
      </c>
      <c r="K36" t="s">
        <v>1080</v>
      </c>
      <c r="L36">
        <v>196</v>
      </c>
      <c r="M36">
        <v>114.5</v>
      </c>
      <c r="N36" s="103">
        <v>1139.8699999999999</v>
      </c>
      <c r="P36" t="s">
        <v>66</v>
      </c>
      <c r="Q36" s="103">
        <v>2103.4</v>
      </c>
      <c r="R36">
        <v>-1</v>
      </c>
      <c r="S36" s="103">
        <v>3473.5</v>
      </c>
      <c r="T36" t="s">
        <v>1070</v>
      </c>
      <c r="V36" t="s">
        <v>803</v>
      </c>
      <c r="W36" t="s">
        <v>925</v>
      </c>
      <c r="X36" t="str">
        <f t="shared" si="8"/>
        <v>Selen</v>
      </c>
      <c r="Y36" t="str">
        <f t="shared" si="3"/>
        <v>Krypton</v>
      </c>
      <c r="Z36" t="s">
        <v>990</v>
      </c>
      <c r="AA36" s="72" t="s">
        <v>1030</v>
      </c>
      <c r="AB36" s="108"/>
      <c r="AC36" s="72"/>
      <c r="AD36" s="87" t="s">
        <v>151</v>
      </c>
      <c r="AE36" s="87" t="str">
        <f t="shared" si="9"/>
        <v>#REDIRECT [[Brom]]</v>
      </c>
      <c r="AG36" t="s">
        <v>1127</v>
      </c>
      <c r="AH36" t="str">
        <f t="shared" si="13"/>
        <v>Iod</v>
      </c>
      <c r="AK36" t="str">
        <f t="shared" si="4"/>
        <v xml:space="preserve"> wurde 1825 in Frankreich durch Balard entdeckt.</v>
      </c>
      <c r="AN36" t="str">
        <f t="shared" si="12"/>
        <v>035</v>
      </c>
      <c r="AO36" t="s">
        <v>1235</v>
      </c>
      <c r="AP36" s="87" t="str">
        <f t="shared" si="15"/>
        <v>{{Element|Ordnungszahl=35|Symbol=Br|Name=Brom|Atommasse=79,904|EN=2,9|BP=58 °C|MP=-7 °C|Dichte=3,14 g/cm³|Ionenradius=196|Ivolt=1139,87|Aradius=114,5</v>
      </c>
      <c r="AQ36" s="87" t="str">
        <f t="shared" si="5"/>
        <v>|Enthalpie=111.9|IVolt2=2103,4|Wert=-1|IVolt3=3473,5|Farbe=rot|Flamme=|Elektronenkonfiguration=[Ar] 4s2 3d10 4p5|EK-Wiki=[Ar] 4s&lt;sup&gt;2&lt;/sup&gt; 3d&lt;sup&gt;10&lt;/sup&gt; 4p&lt;sup&gt;5&lt;/sup&gt;|pre=Selen|next=Krypton|Metall=Nichtmetall|E-Name=Bromine|L-Name=</v>
      </c>
      <c r="AR36" s="87" t="str">
        <f t="shared" si="6"/>
        <v>|Verwendung=|Wortherkunft=Brom (von altgriechisch (brómos) = Gestank, wegen des beißenden Geruchs von Bromdämpfen)|L-Abk. bzw. redirect=#REDIRECT [[Brom]]|radioaktiv=|hoch=Chlor|runter=Iod|Bild-Element=|Bild-Verwendung=|www= wurde 1825 in Frankreich durch Balard entdeckt.|E-Gruppe=|Sonstiges-kurz=|OZ3=035|WL=Sammlung|Text= }}
[[Kategorie:Chemie]][[Kategorie:Chemikalien]]</v>
      </c>
      <c r="AS36" s="104" t="str">
        <f t="shared" si="2"/>
        <v>{{Element|Ordnungszahl=35|Symbol=Br|Name=Brom|Atommasse=79,904|EN=2,9|BP=58 °C|MP=-7 °C|Dichte=3,14 g/cm³|Ionenradius=196|Ivolt=1139,87|Aradius=114,5|Enthalpie=111.9|IVolt2=2103,4|Wert=-1|IVolt3=3473,5|Farbe=rot|Flamme=|Elektronenkonfiguration=[Ar] 4s2 3d10 4p5|EK-Wiki=[Ar] 4s&lt;sup&gt;2&lt;/sup&gt; 3d&lt;sup&gt;10&lt;/sup&gt; 4p&lt;sup&gt;5&lt;/sup&gt;|pre=Selen|next=Krypton|Metall=Nichtmetall|E-Name=Bromine|L-Name=|Verwendung=|Wortherkunft=Brom (von altgriechisch (brómos) = Gestank, wegen des beißenden Geruchs von Bromdämpfen)|L-Abk. bzw. redirect=#REDIRECT [[Brom]]|radioaktiv=|hoch=Chlor|runter=Iod|Bild-Element=|Bild-Verwendung=|www= wurde 1825 in Frankreich durch Balard entdeckt.|E-Gruppe=|Sonstiges-kurz=|OZ3=035|WL=Sammlung|Text= }}
[[Kategorie:Chemie]][[Kategorie:Chemikalien]]</v>
      </c>
      <c r="AT36" t="str">
        <f t="shared" si="16"/>
        <v xml:space="preserve"> wurde 1825 in Frankreich durch Balard entdeckt. http://www.webelements.com/webelements/elements/media/element-pics/Br.jpg</v>
      </c>
    </row>
    <row r="37" spans="1:46" ht="262.2">
      <c r="A37">
        <v>36</v>
      </c>
      <c r="B37" t="s">
        <v>67</v>
      </c>
      <c r="C37" t="s">
        <v>68</v>
      </c>
      <c r="D37">
        <v>83.798000000000002</v>
      </c>
      <c r="E37">
        <v>0</v>
      </c>
      <c r="F37" t="s">
        <v>593</v>
      </c>
      <c r="G37" t="s">
        <v>594</v>
      </c>
      <c r="H37" t="s">
        <v>986</v>
      </c>
      <c r="I37">
        <v>1898</v>
      </c>
      <c r="J37" t="s">
        <v>213</v>
      </c>
      <c r="K37" t="s">
        <v>1067</v>
      </c>
      <c r="L37">
        <v>169</v>
      </c>
      <c r="M37">
        <v>200</v>
      </c>
      <c r="N37" s="103">
        <v>1350.77</v>
      </c>
      <c r="P37">
        <v>0</v>
      </c>
      <c r="Q37" s="103">
        <v>2350.39</v>
      </c>
      <c r="R37" t="s">
        <v>1068</v>
      </c>
      <c r="S37" s="103">
        <v>3565.16</v>
      </c>
      <c r="T37" t="s">
        <v>1069</v>
      </c>
      <c r="V37" t="s">
        <v>804</v>
      </c>
      <c r="W37" t="s">
        <v>926</v>
      </c>
      <c r="X37" t="str">
        <f t="shared" si="8"/>
        <v>Brom</v>
      </c>
      <c r="Y37" t="str">
        <f t="shared" si="3"/>
        <v>Rubidium</v>
      </c>
      <c r="Z37" t="s">
        <v>990</v>
      </c>
      <c r="AA37" s="72" t="s">
        <v>68</v>
      </c>
      <c r="AB37" s="108"/>
      <c r="AC37" s="72"/>
      <c r="AD37" s="87" t="s">
        <v>152</v>
      </c>
      <c r="AE37" s="87" t="str">
        <f t="shared" si="9"/>
        <v>#REDIRECT [[Krypton]]</v>
      </c>
      <c r="AG37" t="str">
        <f t="shared" ref="AG37:AG43" si="17">C19</f>
        <v>Argon</v>
      </c>
      <c r="AH37" t="str">
        <f t="shared" si="13"/>
        <v>Xenon</v>
      </c>
      <c r="AK37" t="str">
        <f t="shared" si="4"/>
        <v xml:space="preserve"> wurde 1898 in England durch Ramsay,Travers entdeckt.</v>
      </c>
      <c r="AN37" t="str">
        <f t="shared" si="12"/>
        <v>036</v>
      </c>
      <c r="AO37" t="s">
        <v>1236</v>
      </c>
      <c r="AP37" s="87" t="str">
        <f t="shared" si="15"/>
        <v>{{Element|Ordnungszahl=36|Symbol=Kr|Name=Krypton|Atommasse=83,798|EN=0|BP=-152 °C|MP=-157 °C|Dichte=3,74 g/L|Ionenradius=169|Ivolt=1350,77|Aradius=200</v>
      </c>
      <c r="AQ37" s="87" t="str">
        <f t="shared" si="5"/>
        <v>|Enthalpie=0|IVolt2=2350,39|Wert=-|IVolt3=3565,16|Farbe=farblos|Flamme=|Elektronenkonfiguration=[Ar] 4s2 3d10 4p6|EK-Wiki=[Ar] 4s&lt;sup&gt;2&lt;/sup&gt; 3d&lt;sup&gt;10&lt;/sup&gt; 4p&lt;sup&gt;6&lt;/sup&gt;|pre=Brom|next=Rubidium|Metall=Nichtmetall|E-Name=Krypton|L-Name=</v>
      </c>
      <c r="AR37" s="87" t="str">
        <f t="shared" si="6"/>
        <v>|Verwendung=|Wortherkunft=Krypton (griechisch krypton = verborgen) wurde im "Rückstand" verdampfter Luft entdeckt.|L-Abk. bzw. redirect=#REDIRECT [[Krypton]]|radioaktiv=|hoch=Argon|runter=Xenon|Bild-Element=|Bild-Verwendung=|www= wurde 1898 in England durch Ramsay,Travers entdeckt.|E-Gruppe=|Sonstiges-kurz=|OZ3=036|WL=nichda|Text= }}
[[Kategorie:Chemie]][[Kategorie:Chemikalien]]</v>
      </c>
      <c r="AS37" s="104" t="str">
        <f t="shared" si="2"/>
        <v>{{Element|Ordnungszahl=36|Symbol=Kr|Name=Krypton|Atommasse=83,798|EN=0|BP=-152 °C|MP=-157 °C|Dichte=3,74 g/L|Ionenradius=169|Ivolt=1350,77|Aradius=200|Enthalpie=0|IVolt2=2350,39|Wert=-|IVolt3=3565,16|Farbe=farblos|Flamme=|Elektronenkonfiguration=[Ar] 4s2 3d10 4p6|EK-Wiki=[Ar] 4s&lt;sup&gt;2&lt;/sup&gt; 3d&lt;sup&gt;10&lt;/sup&gt; 4p&lt;sup&gt;6&lt;/sup&gt;|pre=Brom|next=Rubidium|Metall=Nichtmetall|E-Name=Krypton|L-Name=|Verwendung=|Wortherkunft=Krypton (griechisch krypton = verborgen) wurde im "Rückstand" verdampfter Luft entdeckt.|L-Abk. bzw. redirect=#REDIRECT [[Krypton]]|radioaktiv=|hoch=Argon|runter=Xenon|Bild-Element=|Bild-Verwendung=|www= wurde 1898 in England durch Ramsay,Travers entdeckt.|E-Gruppe=|Sonstiges-kurz=|OZ3=036|WL=nichda|Text= }}
[[Kategorie:Chemie]][[Kategorie:Chemikalien]]</v>
      </c>
      <c r="AT37" t="str">
        <f t="shared" si="16"/>
        <v xml:space="preserve"> wurde 1898 in England durch Ramsay,Travers entdeckt. http://www.webelements.com/webelements/elements/media/element-pics/Kr.jpg</v>
      </c>
    </row>
    <row r="38" spans="1:46" ht="262.2">
      <c r="A38">
        <v>37</v>
      </c>
      <c r="B38" t="s">
        <v>69</v>
      </c>
      <c r="C38" t="s">
        <v>70</v>
      </c>
      <c r="D38">
        <v>85.467799999999997</v>
      </c>
      <c r="E38">
        <v>0.8</v>
      </c>
      <c r="F38" t="s">
        <v>595</v>
      </c>
      <c r="G38" t="s">
        <v>596</v>
      </c>
      <c r="H38" t="s">
        <v>735</v>
      </c>
      <c r="I38">
        <v>1860</v>
      </c>
      <c r="J38" t="s">
        <v>214</v>
      </c>
      <c r="K38" t="s">
        <v>1120</v>
      </c>
      <c r="L38">
        <v>149</v>
      </c>
      <c r="M38">
        <v>247.5</v>
      </c>
      <c r="N38" s="103">
        <v>403.03</v>
      </c>
      <c r="P38" t="s">
        <v>71</v>
      </c>
      <c r="Q38" s="103">
        <v>2632.62</v>
      </c>
      <c r="R38">
        <v>1</v>
      </c>
      <c r="S38" s="103">
        <v>3859.44</v>
      </c>
      <c r="T38" t="s">
        <v>1229</v>
      </c>
      <c r="U38" t="s">
        <v>14</v>
      </c>
      <c r="V38" t="s">
        <v>805</v>
      </c>
      <c r="W38" t="s">
        <v>876</v>
      </c>
      <c r="X38" t="str">
        <f t="shared" si="8"/>
        <v>Krypton</v>
      </c>
      <c r="Y38" t="str">
        <f t="shared" si="3"/>
        <v>Strontium</v>
      </c>
      <c r="Z38" t="s">
        <v>989</v>
      </c>
      <c r="AA38" s="72" t="s">
        <v>70</v>
      </c>
      <c r="AB38" s="108"/>
      <c r="AC38" s="72"/>
      <c r="AD38" s="87" t="s">
        <v>244</v>
      </c>
      <c r="AE38" s="87" t="str">
        <f t="shared" si="9"/>
        <v>#REDIRECT [[Rubidium]]</v>
      </c>
      <c r="AG38" t="str">
        <f t="shared" si="17"/>
        <v>Kalium</v>
      </c>
      <c r="AH38" t="str">
        <f t="shared" si="13"/>
        <v>Caesium</v>
      </c>
      <c r="AK38" t="str">
        <f t="shared" si="4"/>
        <v xml:space="preserve"> wurde 1860 in Deutschland durch Bunsen entdeckt.</v>
      </c>
      <c r="AN38" t="str">
        <f t="shared" si="12"/>
        <v>037</v>
      </c>
      <c r="AO38" t="s">
        <v>1236</v>
      </c>
      <c r="AP38" s="87" t="str">
        <f t="shared" si="15"/>
        <v>{{Element|Ordnungszahl=37|Symbol=Rb|Name=Rubidium|Atommasse=85,4678|EN=0,8|BP=688 °C|MP=39 °C|Dichte=1,532 g/cm³|Ionenradius=149|Ivolt=403,03|Aradius=247,5</v>
      </c>
      <c r="AQ38" s="87" t="str">
        <f t="shared" si="5"/>
        <v>|Enthalpie=80.9|IVolt2=2632,62|Wert=1|IVolt3=3859,44|Farbe=silbrig-weiß|Flamme=violett|Elektronenkonfiguration=[Kr] 5s1|EK-Wiki=[Kr] 5s&lt;sup&gt;1&lt;/sup&gt;|pre=Krypton|next=Strontium|Metall=Metall|E-Name=Rubidium|L-Name=</v>
      </c>
      <c r="AR38" s="87" t="str">
        <f t="shared" si="6"/>
        <v>|Verwendung=|Wortherkunft=Rubidium (lateinisch ''rubidus'' für tiefrot, wegen zwei charakteristischer roter Spektrallinien) wurde spektroskopisch im Mineralwasser entdeckt.|L-Abk. bzw. redirect=#REDIRECT [[Rubidium]]|radioaktiv=|hoch=Kalium|runter=Caesium|Bild-Element=|Bild-Verwendung=|www= wurde 1860 in Deutschland durch Bunsen entdeckt.|E-Gruppe=|Sonstiges-kurz=|OZ3=037|WL=nichda|Text= }}
[[Kategorie:Chemie]][[Kategorie:Chemikalien]]</v>
      </c>
      <c r="AS38" s="104" t="str">
        <f t="shared" si="2"/>
        <v>{{Element|Ordnungszahl=37|Symbol=Rb|Name=Rubidium|Atommasse=85,4678|EN=0,8|BP=688 °C|MP=39 °C|Dichte=1,532 g/cm³|Ionenradius=149|Ivolt=403,03|Aradius=247,5|Enthalpie=80.9|IVolt2=2632,62|Wert=1|IVolt3=3859,44|Farbe=silbrig-weiß|Flamme=violett|Elektronenkonfiguration=[Kr] 5s1|EK-Wiki=[Kr] 5s&lt;sup&gt;1&lt;/sup&gt;|pre=Krypton|next=Strontium|Metall=Metall|E-Name=Rubidium|L-Name=|Verwendung=|Wortherkunft=Rubidium (lateinisch ''rubidus'' für tiefrot, wegen zwei charakteristischer roter Spektrallinien) wurde spektroskopisch im Mineralwasser entdeckt.|L-Abk. bzw. redirect=#REDIRECT [[Rubidium]]|radioaktiv=|hoch=Kalium|runter=Caesium|Bild-Element=|Bild-Verwendung=|www= wurde 1860 in Deutschland durch Bunsen entdeckt.|E-Gruppe=|Sonstiges-kurz=|OZ3=037|WL=nichda|Text= }}
[[Kategorie:Chemie]][[Kategorie:Chemikalien]]</v>
      </c>
      <c r="AT38" t="str">
        <f t="shared" si="16"/>
        <v xml:space="preserve"> wurde 1860 in Deutschland durch Bunsen entdeckt. http://www.webelements.com/webelements/elements/media/element-pics/Rb.jpg</v>
      </c>
    </row>
    <row r="39" spans="1:46" ht="248.4">
      <c r="A39">
        <v>38</v>
      </c>
      <c r="B39" t="s">
        <v>72</v>
      </c>
      <c r="C39" t="s">
        <v>73</v>
      </c>
      <c r="D39">
        <v>87.62</v>
      </c>
      <c r="E39">
        <v>1</v>
      </c>
      <c r="F39" t="s">
        <v>597</v>
      </c>
      <c r="G39" t="s">
        <v>598</v>
      </c>
      <c r="H39" t="s">
        <v>740</v>
      </c>
      <c r="I39">
        <v>1790</v>
      </c>
      <c r="J39" t="s">
        <v>215</v>
      </c>
      <c r="K39" t="s">
        <v>1073</v>
      </c>
      <c r="L39">
        <v>127</v>
      </c>
      <c r="M39">
        <v>215.1</v>
      </c>
      <c r="N39" s="103">
        <v>549.48</v>
      </c>
      <c r="P39" t="s">
        <v>74</v>
      </c>
      <c r="Q39" s="103">
        <v>1064.25</v>
      </c>
      <c r="R39">
        <v>2</v>
      </c>
      <c r="S39" s="103">
        <v>4138.29</v>
      </c>
      <c r="T39" t="s">
        <v>1230</v>
      </c>
      <c r="U39" t="s">
        <v>75</v>
      </c>
      <c r="V39" t="s">
        <v>806</v>
      </c>
      <c r="W39" t="s">
        <v>884</v>
      </c>
      <c r="X39" t="str">
        <f t="shared" si="8"/>
        <v>Rubidium</v>
      </c>
      <c r="Y39" t="str">
        <f t="shared" si="3"/>
        <v>Yttrium</v>
      </c>
      <c r="Z39" t="s">
        <v>989</v>
      </c>
      <c r="AA39" s="72" t="s">
        <v>73</v>
      </c>
      <c r="AB39" s="108"/>
      <c r="AC39" s="72"/>
      <c r="AD39" s="87" t="s">
        <v>245</v>
      </c>
      <c r="AE39" s="87" t="str">
        <f t="shared" si="9"/>
        <v>#REDIRECT [[Strontium]]</v>
      </c>
      <c r="AG39" t="str">
        <f t="shared" si="17"/>
        <v>Calcium</v>
      </c>
      <c r="AH39" t="str">
        <f t="shared" si="13"/>
        <v>Barium</v>
      </c>
      <c r="AK39" t="str">
        <f t="shared" si="4"/>
        <v xml:space="preserve"> wurde 1790 in Schottland durch Crawford entdeckt.</v>
      </c>
      <c r="AN39" t="str">
        <f t="shared" si="12"/>
        <v>038</v>
      </c>
      <c r="AO39" t="s">
        <v>1236</v>
      </c>
      <c r="AP39" s="87" t="str">
        <f t="shared" si="15"/>
        <v>{{Element|Ordnungszahl=38|Symbol=Sr|Name=Strontium|Atommasse=87,62|EN=1|BP=1380 °C|MP=770 °C|Dichte=2,64 g/cm³|Ionenradius=127|Ivolt=549,48|Aradius=215,1</v>
      </c>
      <c r="AQ39" s="87" t="str">
        <f t="shared" si="5"/>
        <v>|Enthalpie=164.4|IVolt2=1064,25|Wert=2|IVolt3=4138,29|Farbe=silbrig-gelb|Flamme=karminrot|Elektronenkonfiguration=[Kr] 5s2|EK-Wiki=[Kr] 5s&lt;sup&gt;2&lt;/sup&gt;|pre=Rubidium|next=Yttrium|Metall=Metall|E-Name=Strontium|L-Name=</v>
      </c>
      <c r="AR39" s="87" t="str">
        <f t="shared" si="6"/>
        <v>|Verwendung=|Wortherkunft=Mineral Strontianit, benannt nach der schottischen Stadt Strontian|L-Abk. bzw. redirect=#REDIRECT [[Strontium]]|radioaktiv=|hoch=Calcium|runter=Barium|Bild-Element=|Bild-Verwendung=|www= wurde 1790 in Schottland durch Crawford entdeckt.|E-Gruppe=|Sonstiges-kurz=|OZ3=038|WL=nichda|Text= }}
[[Kategorie:Chemie]][[Kategorie:Chemikalien]]</v>
      </c>
      <c r="AS39" s="104" t="str">
        <f t="shared" si="2"/>
        <v>{{Element|Ordnungszahl=38|Symbol=Sr|Name=Strontium|Atommasse=87,62|EN=1|BP=1380 °C|MP=770 °C|Dichte=2,64 g/cm³|Ionenradius=127|Ivolt=549,48|Aradius=215,1|Enthalpie=164.4|IVolt2=1064,25|Wert=2|IVolt3=4138,29|Farbe=silbrig-gelb|Flamme=karminrot|Elektronenkonfiguration=[Kr] 5s2|EK-Wiki=[Kr] 5s&lt;sup&gt;2&lt;/sup&gt;|pre=Rubidium|next=Yttrium|Metall=Metall|E-Name=Strontium|L-Name=|Verwendung=|Wortherkunft=Mineral Strontianit, benannt nach der schottischen Stadt Strontian|L-Abk. bzw. redirect=#REDIRECT [[Strontium]]|radioaktiv=|hoch=Calcium|runter=Barium|Bild-Element=|Bild-Verwendung=|www= wurde 1790 in Schottland durch Crawford entdeckt.|E-Gruppe=|Sonstiges-kurz=|OZ3=038|WL=nichda|Text= }}
[[Kategorie:Chemie]][[Kategorie:Chemikalien]]</v>
      </c>
      <c r="AT39" t="str">
        <f t="shared" si="16"/>
        <v xml:space="preserve"> wurde 1790 in Schottland durch Crawford entdeckt. http://www.webelements.com/webelements/elements/media/element-pics/Sr.jpg</v>
      </c>
    </row>
    <row r="40" spans="1:46" ht="248.4">
      <c r="A40">
        <v>39</v>
      </c>
      <c r="B40" t="s">
        <v>76</v>
      </c>
      <c r="C40" t="s">
        <v>77</v>
      </c>
      <c r="D40">
        <v>88.905850000000001</v>
      </c>
      <c r="E40">
        <v>1.2</v>
      </c>
      <c r="F40" t="s">
        <v>599</v>
      </c>
      <c r="G40" t="s">
        <v>600</v>
      </c>
      <c r="H40" t="s">
        <v>471</v>
      </c>
      <c r="I40">
        <v>1878</v>
      </c>
      <c r="J40" t="s">
        <v>216</v>
      </c>
      <c r="K40" t="s">
        <v>78</v>
      </c>
      <c r="L40">
        <v>106</v>
      </c>
      <c r="M40">
        <v>181</v>
      </c>
      <c r="N40" s="103">
        <v>599.86</v>
      </c>
      <c r="P40" t="s">
        <v>79</v>
      </c>
      <c r="Q40" s="103">
        <v>1180.99</v>
      </c>
      <c r="R40">
        <v>3</v>
      </c>
      <c r="S40" s="103">
        <v>1979.89</v>
      </c>
      <c r="T40" t="s">
        <v>1227</v>
      </c>
      <c r="V40" t="s">
        <v>811</v>
      </c>
      <c r="W40" t="s">
        <v>901</v>
      </c>
      <c r="X40" t="str">
        <f t="shared" si="8"/>
        <v>Strontium</v>
      </c>
      <c r="Y40" t="str">
        <f t="shared" si="3"/>
        <v>Zirconium</v>
      </c>
      <c r="Z40" t="s">
        <v>989</v>
      </c>
      <c r="AA40" s="72" t="s">
        <v>77</v>
      </c>
      <c r="AB40" s="108"/>
      <c r="AC40" s="72"/>
      <c r="AD40" s="87" t="s">
        <v>246</v>
      </c>
      <c r="AE40" s="87" t="str">
        <f t="shared" si="9"/>
        <v>#REDIRECT [[Yttrium]]</v>
      </c>
      <c r="AG40" t="str">
        <f t="shared" si="17"/>
        <v>Scandium</v>
      </c>
      <c r="AH40" t="str">
        <f t="shared" si="13"/>
        <v>Lanthan</v>
      </c>
      <c r="AK40" t="str">
        <f t="shared" si="4"/>
        <v xml:space="preserve"> wurde 1878 in Finnland durch Marignac entdeckt.</v>
      </c>
      <c r="AN40" t="str">
        <f t="shared" si="12"/>
        <v>039</v>
      </c>
      <c r="AO40" t="s">
        <v>1236</v>
      </c>
      <c r="AP40" s="87" t="str">
        <f t="shared" si="15"/>
        <v>{{Element|Ordnungszahl=39|Symbol=Y|Name=Yttrium|Atommasse=88,90585|EN=1,2|BP=2930 °C|MP=1500 °C|Dichte=4,47 g/cm³|Ionenradius=106|Ivolt=599,86|Aradius=181</v>
      </c>
      <c r="AQ40" s="87" t="str">
        <f t="shared" si="5"/>
        <v>|Enthalpie=421.3|IVolt2=1180,99|Wert=3|IVolt3=1979,89|Farbe=silbrig|Flamme=|Elektronenkonfiguration=[Kr] 5s2 4d1|EK-Wiki=[Kr] 5s&lt;sup&gt;2&lt;/sup&gt; 4d&lt;sup&gt;1&lt;/sup&gt;|pre=Strontium|next=Zirconium|Metall=Metall|E-Name=Yttrium|L-Name=</v>
      </c>
      <c r="AR40" s="87" t="str">
        <f t="shared" si="6"/>
        <v>|Verwendung=|Wortherkunft=Yttrium (''Ytterby'', schwedische Ortschaft in der Nähe von Stockholm) wurde im Mineral Ytterbit entdeckt.|L-Abk. bzw. redirect=#REDIRECT [[Yttrium]]|radioaktiv=|hoch=Scandium|runter=Lanthan|Bild-Element=|Bild-Verwendung=|www= wurde 1878 in Finnland durch Marignac entdeckt.|E-Gruppe=|Sonstiges-kurz=|OZ3=039|WL=nichda|Text= }}
[[Kategorie:Chemie]][[Kategorie:Chemikalien]]</v>
      </c>
      <c r="AS40" s="104" t="str">
        <f t="shared" si="2"/>
        <v>{{Element|Ordnungszahl=39|Symbol=Y|Name=Yttrium|Atommasse=88,90585|EN=1,2|BP=2930 °C|MP=1500 °C|Dichte=4,47 g/cm³|Ionenradius=106|Ivolt=599,86|Aradius=181|Enthalpie=421.3|IVolt2=1180,99|Wert=3|IVolt3=1979,89|Farbe=silbrig|Flamme=|Elektronenkonfiguration=[Kr] 5s2 4d1|EK-Wiki=[Kr] 5s&lt;sup&gt;2&lt;/sup&gt; 4d&lt;sup&gt;1&lt;/sup&gt;|pre=Strontium|next=Zirconium|Metall=Metall|E-Name=Yttrium|L-Name=|Verwendung=|Wortherkunft=Yttrium (''Ytterby'', schwedische Ortschaft in der Nähe von Stockholm) wurde im Mineral Ytterbit entdeckt.|L-Abk. bzw. redirect=#REDIRECT [[Yttrium]]|radioaktiv=|hoch=Scandium|runter=Lanthan|Bild-Element=|Bild-Verwendung=|www= wurde 1878 in Finnland durch Marignac entdeckt.|E-Gruppe=|Sonstiges-kurz=|OZ3=039|WL=nichda|Text= }}
[[Kategorie:Chemie]][[Kategorie:Chemikalien]]</v>
      </c>
      <c r="AT40" t="str">
        <f t="shared" si="16"/>
        <v xml:space="preserve"> wurde 1878 in Finnland durch Marignac entdeckt. http://www.webelements.com/webelements/elements/media/element-pics/Y.jpg</v>
      </c>
    </row>
    <row r="41" spans="1:46" ht="248.4">
      <c r="A41">
        <v>40</v>
      </c>
      <c r="B41" t="s">
        <v>80</v>
      </c>
      <c r="C41" t="s">
        <v>81</v>
      </c>
      <c r="D41">
        <v>91.224000000000004</v>
      </c>
      <c r="E41">
        <v>1.4</v>
      </c>
      <c r="F41" t="s">
        <v>601</v>
      </c>
      <c r="G41" t="s">
        <v>602</v>
      </c>
      <c r="H41" t="s">
        <v>472</v>
      </c>
      <c r="I41">
        <v>1824</v>
      </c>
      <c r="J41" t="s">
        <v>178</v>
      </c>
      <c r="K41" t="s">
        <v>1120</v>
      </c>
      <c r="L41">
        <v>87</v>
      </c>
      <c r="M41">
        <v>160</v>
      </c>
      <c r="N41" s="103">
        <v>640.08000000000004</v>
      </c>
      <c r="P41" t="s">
        <v>82</v>
      </c>
      <c r="Q41" s="103">
        <v>1266.8599999999999</v>
      </c>
      <c r="R41">
        <v>4</v>
      </c>
      <c r="S41" s="103">
        <v>2218.21</v>
      </c>
      <c r="T41" t="s">
        <v>1082</v>
      </c>
      <c r="V41" t="s">
        <v>812</v>
      </c>
      <c r="W41" t="s">
        <v>906</v>
      </c>
      <c r="X41" t="str">
        <f t="shared" si="8"/>
        <v>Yttrium</v>
      </c>
      <c r="Y41" t="str">
        <f t="shared" si="3"/>
        <v>Niob</v>
      </c>
      <c r="Z41" t="s">
        <v>989</v>
      </c>
      <c r="AA41" s="72" t="s">
        <v>81</v>
      </c>
      <c r="AB41" s="108"/>
      <c r="AC41" s="72"/>
      <c r="AD41" s="87" t="s">
        <v>247</v>
      </c>
      <c r="AE41" s="87" t="str">
        <f t="shared" si="9"/>
        <v>#REDIRECT [[Zirconium]]</v>
      </c>
      <c r="AG41" t="str">
        <f t="shared" si="17"/>
        <v>Titan</v>
      </c>
      <c r="AH41" t="str">
        <f t="shared" ref="AH41:AH87" si="18">C73</f>
        <v>Hafnium</v>
      </c>
      <c r="AK41" t="str">
        <f t="shared" si="4"/>
        <v xml:space="preserve"> wurde 1824 in Deutschland durch Berzelius entdeckt.</v>
      </c>
      <c r="AN41" t="str">
        <f t="shared" si="12"/>
        <v>040</v>
      </c>
      <c r="AO41" t="s">
        <v>1236</v>
      </c>
      <c r="AP41" s="87" t="str">
        <f t="shared" si="15"/>
        <v>{{Element|Ordnungszahl=40|Symbol=Zr|Name=Zirconium|Atommasse=91,224|EN=1,4|BP=3580 °C|MP=1850 °C|Dichte=6,51 g/cm³|Ionenradius=87|Ivolt=640,08|Aradius=160</v>
      </c>
      <c r="AQ41" s="87" t="str">
        <f t="shared" si="5"/>
        <v>|Enthalpie=608.8|IVolt2=1266,86|Wert=4|IVolt3=2218,21|Farbe=grau-weiß|Flamme=|Elektronenkonfiguration=[Kr] 5s2 4d2|EK-Wiki=[Kr] 5s&lt;sup&gt;2&lt;/sup&gt; 4d&lt;sup&gt;2&lt;/sup&gt;|pre=Yttrium|next=Niob|Metall=Metall|E-Name=Zirconium|L-Name=</v>
      </c>
      <c r="AR41" s="87" t="str">
        <f t="shared" si="6"/>
        <v>|Verwendung=|Wortherkunft=Zirkonium wurde nach dem Mineral Zirkon benannt, das eine Zirkoniumverbindung ist.|L-Abk. bzw. redirect=#REDIRECT [[Zirconium]]|radioaktiv=|hoch=Titan|runter=Hafnium|Bild-Element=|Bild-Verwendung=|www= wurde 1824 in Deutschland durch Berzelius entdeckt.|E-Gruppe=|Sonstiges-kurz=|OZ3=040|WL=nichda|Text= }}
[[Kategorie:Chemie]][[Kategorie:Chemikalien]]</v>
      </c>
      <c r="AS41" s="104" t="str">
        <f t="shared" ref="AS41:AS104" si="19">CONCATENATE(AP41,AQ41,AR41)</f>
        <v>{{Element|Ordnungszahl=40|Symbol=Zr|Name=Zirconium|Atommasse=91,224|EN=1,4|BP=3580 °C|MP=1850 °C|Dichte=6,51 g/cm³|Ionenradius=87|Ivolt=640,08|Aradius=160|Enthalpie=608.8|IVolt2=1266,86|Wert=4|IVolt3=2218,21|Farbe=grau-weiß|Flamme=|Elektronenkonfiguration=[Kr] 5s2 4d2|EK-Wiki=[Kr] 5s&lt;sup&gt;2&lt;/sup&gt; 4d&lt;sup&gt;2&lt;/sup&gt;|pre=Yttrium|next=Niob|Metall=Metall|E-Name=Zirconium|L-Name=|Verwendung=|Wortherkunft=Zirkonium wurde nach dem Mineral Zirkon benannt, das eine Zirkoniumverbindung ist.|L-Abk. bzw. redirect=#REDIRECT [[Zirconium]]|radioaktiv=|hoch=Titan|runter=Hafnium|Bild-Element=|Bild-Verwendung=|www= wurde 1824 in Deutschland durch Berzelius entdeckt.|E-Gruppe=|Sonstiges-kurz=|OZ3=040|WL=nichda|Text= }}
[[Kategorie:Chemie]][[Kategorie:Chemikalien]]</v>
      </c>
      <c r="AT41" t="str">
        <f t="shared" si="16"/>
        <v xml:space="preserve"> wurde 1824 in Deutschland durch Berzelius entdeckt. http://www.webelements.com/webelements/elements/media/element-pics/Zr.jpg</v>
      </c>
    </row>
    <row r="42" spans="1:46" ht="262.2">
      <c r="A42">
        <v>41</v>
      </c>
      <c r="B42" t="s">
        <v>83</v>
      </c>
      <c r="C42" t="s">
        <v>84</v>
      </c>
      <c r="D42">
        <v>92.906379999999999</v>
      </c>
      <c r="E42">
        <v>1.6</v>
      </c>
      <c r="F42" t="s">
        <v>603</v>
      </c>
      <c r="G42" t="s">
        <v>604</v>
      </c>
      <c r="H42" t="s">
        <v>473</v>
      </c>
      <c r="I42">
        <v>1801</v>
      </c>
      <c r="J42" t="s">
        <v>217</v>
      </c>
      <c r="K42" t="s">
        <v>1067</v>
      </c>
      <c r="L42">
        <v>69</v>
      </c>
      <c r="M42">
        <v>142.9</v>
      </c>
      <c r="N42" s="103">
        <v>652.13</v>
      </c>
      <c r="P42" t="s">
        <v>85</v>
      </c>
      <c r="Q42" s="103">
        <v>1381.68</v>
      </c>
      <c r="R42">
        <v>8</v>
      </c>
      <c r="S42" s="103">
        <v>2416.0100000000002</v>
      </c>
      <c r="T42" t="s">
        <v>1109</v>
      </c>
      <c r="V42" t="s">
        <v>813</v>
      </c>
      <c r="W42" t="s">
        <v>909</v>
      </c>
      <c r="X42" t="str">
        <f t="shared" si="8"/>
        <v>Zirconium</v>
      </c>
      <c r="Y42" t="str">
        <f t="shared" si="3"/>
        <v>Molybdän</v>
      </c>
      <c r="Z42" t="s">
        <v>989</v>
      </c>
      <c r="AA42" s="72" t="s">
        <v>1041</v>
      </c>
      <c r="AB42" s="108"/>
      <c r="AC42" s="72"/>
      <c r="AD42" s="87" t="s">
        <v>1244</v>
      </c>
      <c r="AE42" s="87" t="str">
        <f t="shared" si="9"/>
        <v>#REDIRECT [[Niob]]</v>
      </c>
      <c r="AG42" t="str">
        <f t="shared" si="17"/>
        <v>Vanadium</v>
      </c>
      <c r="AH42" t="str">
        <f t="shared" si="18"/>
        <v>Tantal</v>
      </c>
      <c r="AK42" t="str">
        <f t="shared" si="4"/>
        <v xml:space="preserve"> wurde 1801 in England durch Hatchett entdeckt.</v>
      </c>
      <c r="AN42" t="str">
        <f t="shared" si="12"/>
        <v>041</v>
      </c>
      <c r="AO42" t="s">
        <v>1236</v>
      </c>
      <c r="AP42" s="87" t="str">
        <f t="shared" si="15"/>
        <v>{{Element|Ordnungszahl=41|Symbol=Nb|Name=Niob|Atommasse=92,90638|EN=1,6|BP=4900 °C|MP=2420 °C|Dichte=8,58 g/cm³|Ionenradius=69|Ivolt=652,13|Aradius=142,9</v>
      </c>
      <c r="AQ42" s="87" t="str">
        <f t="shared" si="5"/>
        <v>|Enthalpie=725.9|IVolt2=1381,68|Wert=8|IVolt3=2416,01|Farbe=weiß|Flamme=|Elektronenkonfiguration=[Kr] 5s1 4d4|EK-Wiki=[Kr] 5s&lt;sup&gt;1&lt;/sup&gt; 4d&lt;sup&gt;4&lt;/sup&gt;|pre=Zirconium|next=Molybdän|Metall=Metall|E-Name=Niobium|L-Name=</v>
      </c>
      <c r="AR42" s="87" t="str">
        <f t="shared" si="6"/>
        <v>|Verwendung=|Wortherkunft=''Niob''' (nach Niobe - der Tochter des Tantalus -, Hatchett fand Niob in Columbiterz, Tocvhter des Tantalos, wg. Vergesellschaftung mit Tantal|L-Abk. bzw. redirect=#REDIRECT [[Niob]]|radioaktiv=|hoch=Vanadium|runter=Tantal|Bild-Element=|Bild-Verwendung=|www= wurde 1801 in England durch Hatchett entdeckt.|E-Gruppe=|Sonstiges-kurz=|OZ3=041|WL=nichda|Text= }}
[[Kategorie:Chemie]][[Kategorie:Chemikalien]]</v>
      </c>
      <c r="AS42" s="104" t="str">
        <f t="shared" si="19"/>
        <v>{{Element|Ordnungszahl=41|Symbol=Nb|Name=Niob|Atommasse=92,90638|EN=1,6|BP=4900 °C|MP=2420 °C|Dichte=8,58 g/cm³|Ionenradius=69|Ivolt=652,13|Aradius=142,9|Enthalpie=725.9|IVolt2=1381,68|Wert=8|IVolt3=2416,01|Farbe=weiß|Flamme=|Elektronenkonfiguration=[Kr] 5s1 4d4|EK-Wiki=[Kr] 5s&lt;sup&gt;1&lt;/sup&gt; 4d&lt;sup&gt;4&lt;/sup&gt;|pre=Zirconium|next=Molybdän|Metall=Metall|E-Name=Niobium|L-Name=|Verwendung=|Wortherkunft=''Niob''' (nach Niobe - der Tochter des Tantalus -, Hatchett fand Niob in Columbiterz, Tocvhter des Tantalos, wg. Vergesellschaftung mit Tantal|L-Abk. bzw. redirect=#REDIRECT [[Niob]]|radioaktiv=|hoch=Vanadium|runter=Tantal|Bild-Element=|Bild-Verwendung=|www= wurde 1801 in England durch Hatchett entdeckt.|E-Gruppe=|Sonstiges-kurz=|OZ3=041|WL=nichda|Text= }}
[[Kategorie:Chemie]][[Kategorie:Chemikalien]]</v>
      </c>
      <c r="AT42" t="str">
        <f t="shared" si="16"/>
        <v xml:space="preserve"> wurde 1801 in England durch Hatchett entdeckt. http://www.webelements.com/webelements/elements/media/element-pics/Nb.jpg</v>
      </c>
    </row>
    <row r="43" spans="1:46" ht="276">
      <c r="A43">
        <v>42</v>
      </c>
      <c r="B43" t="s">
        <v>86</v>
      </c>
      <c r="C43" t="s">
        <v>87</v>
      </c>
      <c r="D43">
        <v>95.94</v>
      </c>
      <c r="E43">
        <v>1.8</v>
      </c>
      <c r="F43" t="s">
        <v>605</v>
      </c>
      <c r="G43" t="s">
        <v>606</v>
      </c>
      <c r="H43" t="s">
        <v>474</v>
      </c>
      <c r="I43">
        <v>1790</v>
      </c>
      <c r="J43" t="s">
        <v>218</v>
      </c>
      <c r="K43" t="s">
        <v>1076</v>
      </c>
      <c r="L43">
        <v>62</v>
      </c>
      <c r="M43">
        <v>136.19999999999999</v>
      </c>
      <c r="N43" s="103">
        <v>684.32</v>
      </c>
      <c r="P43" t="s">
        <v>88</v>
      </c>
      <c r="Q43" s="103">
        <v>1559.21</v>
      </c>
      <c r="R43">
        <v>11</v>
      </c>
      <c r="S43" s="103">
        <v>2617.67</v>
      </c>
      <c r="T43" t="s">
        <v>1229</v>
      </c>
      <c r="V43" t="s">
        <v>814</v>
      </c>
      <c r="W43" t="s">
        <v>912</v>
      </c>
      <c r="X43" t="str">
        <f t="shared" si="8"/>
        <v>Niob</v>
      </c>
      <c r="Y43" t="str">
        <f t="shared" si="3"/>
        <v>Technetium</v>
      </c>
      <c r="Z43" t="s">
        <v>989</v>
      </c>
      <c r="AA43" s="72" t="s">
        <v>1037</v>
      </c>
      <c r="AB43" s="108"/>
      <c r="AC43" s="72"/>
      <c r="AD43" s="87" t="s">
        <v>248</v>
      </c>
      <c r="AE43" s="87" t="str">
        <f t="shared" si="9"/>
        <v>#REDIRECT [[Molybdän]]</v>
      </c>
      <c r="AG43" t="str">
        <f t="shared" si="17"/>
        <v>Chrom</v>
      </c>
      <c r="AH43" t="str">
        <f t="shared" si="18"/>
        <v>Wolfram</v>
      </c>
      <c r="AK43" t="str">
        <f t="shared" si="4"/>
        <v xml:space="preserve"> wurde 1790 in Schweden durch Hjelm entdeckt.</v>
      </c>
      <c r="AN43" t="str">
        <f t="shared" ref="AN43:AN74" si="20">CONCATENATE("0",A43,)</f>
        <v>042</v>
      </c>
      <c r="AO43" t="s">
        <v>1235</v>
      </c>
      <c r="AP43" s="87" t="str">
        <f t="shared" si="15"/>
        <v>{{Element|Ordnungszahl=42|Symbol=Mo|Name=Molybdän|Atommasse=95,94|EN=1,8|BP=5560 °C|MP=2610 °C|Dichte=10,28 g/cm³|Ionenradius=62|Ivolt=684,32|Aradius=136,2</v>
      </c>
      <c r="AQ43" s="87" t="str">
        <f t="shared" si="5"/>
        <v>|Enthalpie=658.1|IVolt2=1559,21|Wert=11|IVolt3=2617,67|Farbe=silbrig-weiß|Flamme=|Elektronenkonfiguration=[Kr] 5s1 4d5|EK-Wiki=[Kr] 5s&lt;sup&gt;1&lt;/sup&gt; 4d&lt;sup&gt;5&lt;/sup&gt;|pre=Niob|next=Technetium|Metall=Metall|E-Name=Molybdenum|L-Name=</v>
      </c>
      <c r="AR43" s="87" t="str">
        <f t="shared" si="6"/>
        <v>|Verwendung=|Wortherkunft=Molybdän, von griech. molybdos für Blei, das in Lagerstätten in der Regel als Molybdänglanz (Molybdändisulfid) vorkommt wurde lange Zeit mit Bleiglanz oder auch Graphit verwechselt.|L-Abk. bzw. redirect=#REDIRECT [[Molybdän]]|radioaktiv=|hoch=Chrom|runter=Wolfram|Bild-Element=|Bild-Verwendung=|www= wurde 1790 in Schweden durch Hjelm entdeckt.|E-Gruppe=|Sonstiges-kurz=|OZ3=042|WL=Sammlung|Text= }}
[[Kategorie:Chemie]][[Kategorie:Chemikalien]]</v>
      </c>
      <c r="AS43" s="104" t="str">
        <f t="shared" si="19"/>
        <v>{{Element|Ordnungszahl=42|Symbol=Mo|Name=Molybdän|Atommasse=95,94|EN=1,8|BP=5560 °C|MP=2610 °C|Dichte=10,28 g/cm³|Ionenradius=62|Ivolt=684,32|Aradius=136,2|Enthalpie=658.1|IVolt2=1559,21|Wert=11|IVolt3=2617,67|Farbe=silbrig-weiß|Flamme=|Elektronenkonfiguration=[Kr] 5s1 4d5|EK-Wiki=[Kr] 5s&lt;sup&gt;1&lt;/sup&gt; 4d&lt;sup&gt;5&lt;/sup&gt;|pre=Niob|next=Technetium|Metall=Metall|E-Name=Molybdenum|L-Name=|Verwendung=|Wortherkunft=Molybdän, von griech. molybdos für Blei, das in Lagerstätten in der Regel als Molybdänglanz (Molybdändisulfid) vorkommt wurde lange Zeit mit Bleiglanz oder auch Graphit verwechselt.|L-Abk. bzw. redirect=#REDIRECT [[Molybdän]]|radioaktiv=|hoch=Chrom|runter=Wolfram|Bild-Element=|Bild-Verwendung=|www= wurde 1790 in Schweden durch Hjelm entdeckt.|E-Gruppe=|Sonstiges-kurz=|OZ3=042|WL=Sammlung|Text= }}
[[Kategorie:Chemie]][[Kategorie:Chemikalien]]</v>
      </c>
      <c r="AT43" t="str">
        <f t="shared" si="16"/>
        <v xml:space="preserve"> wurde 1790 in Schweden durch Hjelm entdeckt. http://www.webelements.com/webelements/elements/media/element-pics/Mo.jpg</v>
      </c>
    </row>
    <row r="44" spans="1:46" ht="262.2">
      <c r="A44">
        <v>43</v>
      </c>
      <c r="B44" t="s">
        <v>89</v>
      </c>
      <c r="C44" t="s">
        <v>90</v>
      </c>
      <c r="D44">
        <v>97</v>
      </c>
      <c r="E44">
        <v>1.9</v>
      </c>
      <c r="F44" t="s">
        <v>607</v>
      </c>
      <c r="G44" t="s">
        <v>608</v>
      </c>
      <c r="H44" t="s">
        <v>475</v>
      </c>
      <c r="I44">
        <v>1937</v>
      </c>
      <c r="J44" t="s">
        <v>171</v>
      </c>
      <c r="K44" t="s">
        <v>91</v>
      </c>
      <c r="L44">
        <v>56</v>
      </c>
      <c r="M44">
        <v>135.80000000000001</v>
      </c>
      <c r="N44" s="103">
        <v>702.42</v>
      </c>
      <c r="P44">
        <v>678</v>
      </c>
      <c r="Q44" s="103">
        <v>1472.38</v>
      </c>
      <c r="R44">
        <v>7</v>
      </c>
      <c r="S44" s="103">
        <v>2850.2</v>
      </c>
      <c r="T44" t="s">
        <v>1223</v>
      </c>
      <c r="V44" t="s">
        <v>815</v>
      </c>
      <c r="W44" t="s">
        <v>914</v>
      </c>
      <c r="X44" t="str">
        <f t="shared" si="8"/>
        <v>Molybdän</v>
      </c>
      <c r="Y44" t="str">
        <f t="shared" si="3"/>
        <v>Ruthenium</v>
      </c>
      <c r="Z44" t="s">
        <v>989</v>
      </c>
      <c r="AA44" s="72" t="s">
        <v>90</v>
      </c>
      <c r="AB44" s="108"/>
      <c r="AC44" s="72"/>
      <c r="AD44" s="87" t="s">
        <v>249</v>
      </c>
      <c r="AE44" s="87" t="str">
        <f t="shared" si="9"/>
        <v>#REDIRECT [[Technetium]]</v>
      </c>
      <c r="AF44" s="46" t="s">
        <v>167</v>
      </c>
      <c r="AG44" t="s">
        <v>34</v>
      </c>
      <c r="AH44" t="str">
        <f t="shared" si="18"/>
        <v>Rhenium</v>
      </c>
      <c r="AK44" t="str">
        <f t="shared" si="4"/>
        <v xml:space="preserve"> wurde 1937 in Italien durch Segré, Perrier entdeckt.</v>
      </c>
      <c r="AN44" t="str">
        <f t="shared" si="20"/>
        <v>043</v>
      </c>
      <c r="AO44" t="s">
        <v>1236</v>
      </c>
      <c r="AP44" s="87" t="str">
        <f t="shared" si="15"/>
        <v>{{Element|Ordnungszahl=43|Symbol=Tc|Name=Technetium|Atommasse=97|EN=1,9|BP=4600 °C|MP=2140 °C|Dichte=11,49 g/cm³|Ionenradius=56|Ivolt=702,42|Aradius=135,8</v>
      </c>
      <c r="AQ44" s="87" t="str">
        <f t="shared" si="5"/>
        <v>|Enthalpie=678|IVolt2=1472,38|Wert=7|IVolt3=2850,2|Farbe=silbrig-grau|Flamme=|Elektronenkonfiguration=[Kr] 5s1 4d6|EK-Wiki=[Kr] 5s&lt;sup&gt;1&lt;/sup&gt; 4d&lt;sup&gt;6&lt;/sup&gt;|pre=Molybdän|next=Ruthenium|Metall=Metall|E-Name=Technetium|L-Name=</v>
      </c>
      <c r="AR44" s="87" t="str">
        <f t="shared" si="6"/>
        <v>|Verwendung=|Wortherkunft=Technetium war das erste künstlich hergestellte Element und erhielt deswegen seinen aus dem griechischen Wort für „künstlich“, tekhnetos, hergeleiteten Namen.|L-Abk. bzw. redirect=#REDIRECT [[Technetium]]|radioaktiv=[[radioaktiv]]es&amp;nbsp;|hoch=Mangan|runter=Rhenium|Bild-Element=|Bild-Verwendung=|www= wurde 1937 in Italien durch Segré, Perrier entdeckt.|E-Gruppe=|Sonstiges-kurz=|OZ3=043|WL=nichda|Text= }}
[[Kategorie:Chemie]][[Kategorie:Chemikalien]]</v>
      </c>
      <c r="AS44" s="104" t="str">
        <f t="shared" si="19"/>
        <v>{{Element|Ordnungszahl=43|Symbol=Tc|Name=Technetium|Atommasse=97|EN=1,9|BP=4600 °C|MP=2140 °C|Dichte=11,49 g/cm³|Ionenradius=56|Ivolt=702,42|Aradius=135,8|Enthalpie=678|IVolt2=1472,38|Wert=7|IVolt3=2850,2|Farbe=silbrig-grau|Flamme=|Elektronenkonfiguration=[Kr] 5s1 4d6|EK-Wiki=[Kr] 5s&lt;sup&gt;1&lt;/sup&gt; 4d&lt;sup&gt;6&lt;/sup&gt;|pre=Molybdän|next=Ruthenium|Metall=Metall|E-Name=Technetium|L-Name=|Verwendung=|Wortherkunft=Technetium war das erste künstlich hergestellte Element und erhielt deswegen seinen aus dem griechischen Wort für „künstlich“, tekhnetos, hergeleiteten Namen.|L-Abk. bzw. redirect=#REDIRECT [[Technetium]]|radioaktiv=[[radioaktiv]]es&amp;nbsp;|hoch=Mangan|runter=Rhenium|Bild-Element=|Bild-Verwendung=|www= wurde 1937 in Italien durch Segré, Perrier entdeckt.|E-Gruppe=|Sonstiges-kurz=|OZ3=043|WL=nichda|Text= }}
[[Kategorie:Chemie]][[Kategorie:Chemikalien]]</v>
      </c>
      <c r="AT44" t="str">
        <f t="shared" si="16"/>
        <v xml:space="preserve"> wurde 1937 in Italien durch Segré, Perrier entdeckt. http://www.webelements.com/webelements/elements/media/element-pics/Tc.jpg</v>
      </c>
    </row>
    <row r="45" spans="1:46" ht="248.4">
      <c r="A45">
        <v>44</v>
      </c>
      <c r="B45" t="s">
        <v>92</v>
      </c>
      <c r="C45" t="s">
        <v>93</v>
      </c>
      <c r="D45">
        <v>101.07</v>
      </c>
      <c r="E45">
        <v>2.2000000000000002</v>
      </c>
      <c r="F45" t="s">
        <v>535</v>
      </c>
      <c r="G45" t="s">
        <v>609</v>
      </c>
      <c r="H45" t="s">
        <v>476</v>
      </c>
      <c r="I45">
        <v>1844</v>
      </c>
      <c r="J45" t="s">
        <v>219</v>
      </c>
      <c r="K45" t="s">
        <v>94</v>
      </c>
      <c r="L45">
        <v>65</v>
      </c>
      <c r="M45">
        <v>134</v>
      </c>
      <c r="N45" s="103">
        <v>710.19</v>
      </c>
      <c r="P45" t="s">
        <v>95</v>
      </c>
      <c r="Q45" s="103">
        <v>1617.11</v>
      </c>
      <c r="R45">
        <v>7</v>
      </c>
      <c r="S45" s="103">
        <v>2746.96</v>
      </c>
      <c r="T45" t="s">
        <v>1227</v>
      </c>
      <c r="V45" t="s">
        <v>816</v>
      </c>
      <c r="W45" t="s">
        <v>916</v>
      </c>
      <c r="X45" t="str">
        <f t="shared" si="8"/>
        <v>Technetium</v>
      </c>
      <c r="Y45" t="str">
        <f t="shared" si="3"/>
        <v>Rhodium</v>
      </c>
      <c r="Z45" t="s">
        <v>989</v>
      </c>
      <c r="AA45" s="72" t="s">
        <v>93</v>
      </c>
      <c r="AB45" s="108"/>
      <c r="AC45" s="72"/>
      <c r="AD45" s="87" t="s">
        <v>250</v>
      </c>
      <c r="AE45" s="87" t="str">
        <f t="shared" si="9"/>
        <v>#REDIRECT [[Ruthenium]]</v>
      </c>
      <c r="AG45" t="str">
        <f>C27</f>
        <v>Eisen</v>
      </c>
      <c r="AH45" t="str">
        <f t="shared" si="18"/>
        <v>Osmium</v>
      </c>
      <c r="AK45" t="str">
        <f t="shared" si="4"/>
        <v xml:space="preserve"> wurde 1844 in Rußland durch Claus entdeckt.</v>
      </c>
      <c r="AN45" t="str">
        <f t="shared" si="20"/>
        <v>044</v>
      </c>
      <c r="AO45" t="s">
        <v>1236</v>
      </c>
      <c r="AP45" s="87" t="str">
        <f t="shared" si="15"/>
        <v>{{Element|Ordnungszahl=44|Symbol=Ru|Name=Ruthenium|Atommasse=101,07|EN=2,2|BP=3900 °C|MP=2300 °C|Dichte=12,45 g/cm³|Ionenradius=65|Ivolt=710,19|Aradius=134</v>
      </c>
      <c r="AQ45" s="87" t="str">
        <f t="shared" si="5"/>
        <v>|Enthalpie=642.7|IVolt2=1617,11|Wert=7|IVolt3=2746,96|Farbe=silbrig|Flamme=|Elektronenkonfiguration=[Kr] 5s1 4d7|EK-Wiki=[Kr] 5s&lt;sup&gt;1&lt;/sup&gt; 4d&lt;sup&gt;7&lt;/sup&gt;|pre=Technetium|next=Rhodium|Metall=Metall|E-Name=Ruthenium|L-Name=</v>
      </c>
      <c r="AR45" s="87" t="str">
        <f t="shared" si="6"/>
        <v>|Verwendung=|Wortherkunft=Ruthenium (von ''Ruthenia'', lateinisch für Russland)|L-Abk. bzw. redirect=#REDIRECT [[Ruthenium]]|radioaktiv=|hoch=Eisen|runter=Osmium|Bild-Element=|Bild-Verwendung=|www= wurde 1844 in Rußland durch Claus entdeckt.|E-Gruppe=|Sonstiges-kurz=|OZ3=044|WL=nichda|Text= }}
[[Kategorie:Chemie]][[Kategorie:Chemikalien]]</v>
      </c>
      <c r="AS45" s="104" t="str">
        <f t="shared" si="19"/>
        <v>{{Element|Ordnungszahl=44|Symbol=Ru|Name=Ruthenium|Atommasse=101,07|EN=2,2|BP=3900 °C|MP=2300 °C|Dichte=12,45 g/cm³|Ionenradius=65|Ivolt=710,19|Aradius=134|Enthalpie=642.7|IVolt2=1617,11|Wert=7|IVolt3=2746,96|Farbe=silbrig|Flamme=|Elektronenkonfiguration=[Kr] 5s1 4d7|EK-Wiki=[Kr] 5s&lt;sup&gt;1&lt;/sup&gt; 4d&lt;sup&gt;7&lt;/sup&gt;|pre=Technetium|next=Rhodium|Metall=Metall|E-Name=Ruthenium|L-Name=|Verwendung=|Wortherkunft=Ruthenium (von ''Ruthenia'', lateinisch für Russland)|L-Abk. bzw. redirect=#REDIRECT [[Ruthenium]]|radioaktiv=|hoch=Eisen|runter=Osmium|Bild-Element=|Bild-Verwendung=|www= wurde 1844 in Rußland durch Claus entdeckt.|E-Gruppe=|Sonstiges-kurz=|OZ3=044|WL=nichda|Text= }}
[[Kategorie:Chemie]][[Kategorie:Chemikalien]]</v>
      </c>
      <c r="AT45" t="str">
        <f t="shared" si="16"/>
        <v xml:space="preserve"> wurde 1844 in Rußland durch Claus entdeckt. http://www.webelements.com/webelements/elements/media/element-pics/Ru.jpg</v>
      </c>
    </row>
    <row r="46" spans="1:46" ht="248.4">
      <c r="A46">
        <v>45</v>
      </c>
      <c r="B46" t="s">
        <v>96</v>
      </c>
      <c r="C46" t="s">
        <v>97</v>
      </c>
      <c r="D46">
        <v>102.9055</v>
      </c>
      <c r="E46">
        <v>2.2000000000000002</v>
      </c>
      <c r="F46" t="s">
        <v>538</v>
      </c>
      <c r="G46" t="s">
        <v>610</v>
      </c>
      <c r="H46" t="s">
        <v>477</v>
      </c>
      <c r="I46">
        <v>1804</v>
      </c>
      <c r="J46" t="s">
        <v>220</v>
      </c>
      <c r="K46" t="s">
        <v>1067</v>
      </c>
      <c r="L46">
        <v>75</v>
      </c>
      <c r="M46">
        <v>134.5</v>
      </c>
      <c r="N46" s="103">
        <v>719.68</v>
      </c>
      <c r="P46" t="s">
        <v>98</v>
      </c>
      <c r="Q46" s="103">
        <v>1744.47</v>
      </c>
      <c r="R46">
        <v>5</v>
      </c>
      <c r="S46" s="103">
        <v>2996.86</v>
      </c>
      <c r="T46" t="s">
        <v>1229</v>
      </c>
      <c r="V46" t="s">
        <v>817</v>
      </c>
      <c r="W46" t="s">
        <v>918</v>
      </c>
      <c r="X46" t="str">
        <f t="shared" si="8"/>
        <v>Ruthenium</v>
      </c>
      <c r="Y46" t="str">
        <f t="shared" si="3"/>
        <v>Palladium</v>
      </c>
      <c r="Z46" t="s">
        <v>989</v>
      </c>
      <c r="AA46" s="72" t="s">
        <v>97</v>
      </c>
      <c r="AB46" s="108"/>
      <c r="AC46" s="72"/>
      <c r="AD46" s="87" t="s">
        <v>251</v>
      </c>
      <c r="AE46" s="87" t="str">
        <f t="shared" si="9"/>
        <v>#REDIRECT [[Rhodium]]</v>
      </c>
      <c r="AG46" t="str">
        <f>C28</f>
        <v>Cobalt</v>
      </c>
      <c r="AH46" t="str">
        <f t="shared" si="18"/>
        <v>Iridium</v>
      </c>
      <c r="AK46" t="str">
        <f t="shared" si="4"/>
        <v xml:space="preserve"> wurde 1804 in England durch Wollaston entdeckt.</v>
      </c>
      <c r="AN46" t="str">
        <f t="shared" si="20"/>
        <v>045</v>
      </c>
      <c r="AO46" t="s">
        <v>1236</v>
      </c>
      <c r="AP46" s="87" t="str">
        <f t="shared" si="15"/>
        <v>{{Element|Ordnungszahl=45|Symbol=Rh|Name=Rhodium|Atommasse=102,9055|EN=2,2|BP=3730 °C|MP=1970 °C|Dichte=12,41 g/cm³|Ionenradius=75|Ivolt=719,68|Aradius=134,5</v>
      </c>
      <c r="AQ46" s="87" t="str">
        <f t="shared" si="5"/>
        <v>|Enthalpie=556.9|IVolt2=1744,47|Wert=5|IVolt3=2996,86|Farbe=silbrig-weiß|Flamme=|Elektronenkonfiguration=[Kr] 5s1 4d8|EK-Wiki=[Kr] 5s&lt;sup&gt;1&lt;/sup&gt; 4d&lt;sup&gt;8&lt;/sup&gt;|pre=Ruthenium|next=Palladium|Metall=Metall|E-Name=Rhodium|L-Name=</v>
      </c>
      <c r="AR46" s="87" t="str">
        <f t="shared" si="6"/>
        <v>|Verwendung=|Wortherkunft=Rhodium (griechisch ''rhodon'' für Rose) wurde in einem Rohplatinerz entdeckt.|L-Abk. bzw. redirect=#REDIRECT [[Rhodium]]|radioaktiv=|hoch=Cobalt|runter=Iridium|Bild-Element=|Bild-Verwendung=|www= wurde 1804 in England durch Wollaston entdeckt.|E-Gruppe=|Sonstiges-kurz=|OZ3=045|WL=nichda|Text= }}
[[Kategorie:Chemie]][[Kategorie:Chemikalien]]</v>
      </c>
      <c r="AS46" s="104" t="str">
        <f t="shared" si="19"/>
        <v>{{Element|Ordnungszahl=45|Symbol=Rh|Name=Rhodium|Atommasse=102,9055|EN=2,2|BP=3730 °C|MP=1970 °C|Dichte=12,41 g/cm³|Ionenradius=75|Ivolt=719,68|Aradius=134,5|Enthalpie=556.9|IVolt2=1744,47|Wert=5|IVolt3=2996,86|Farbe=silbrig-weiß|Flamme=|Elektronenkonfiguration=[Kr] 5s1 4d8|EK-Wiki=[Kr] 5s&lt;sup&gt;1&lt;/sup&gt; 4d&lt;sup&gt;8&lt;/sup&gt;|pre=Ruthenium|next=Palladium|Metall=Metall|E-Name=Rhodium|L-Name=|Verwendung=|Wortherkunft=Rhodium (griechisch ''rhodon'' für Rose) wurde in einem Rohplatinerz entdeckt.|L-Abk. bzw. redirect=#REDIRECT [[Rhodium]]|radioaktiv=|hoch=Cobalt|runter=Iridium|Bild-Element=|Bild-Verwendung=|www= wurde 1804 in England durch Wollaston entdeckt.|E-Gruppe=|Sonstiges-kurz=|OZ3=045|WL=nichda|Text= }}
[[Kategorie:Chemie]][[Kategorie:Chemikalien]]</v>
      </c>
      <c r="AT46" t="str">
        <f t="shared" si="16"/>
        <v xml:space="preserve"> wurde 1804 in England durch Wollaston entdeckt. http://www.webelements.com/webelements/elements/media/element-pics/Rh.jpg</v>
      </c>
    </row>
    <row r="47" spans="1:46" ht="234.6">
      <c r="A47">
        <v>46</v>
      </c>
      <c r="B47" t="s">
        <v>99</v>
      </c>
      <c r="C47" t="s">
        <v>100</v>
      </c>
      <c r="D47">
        <v>106.42</v>
      </c>
      <c r="E47">
        <v>2.2000000000000002</v>
      </c>
      <c r="F47" t="s">
        <v>611</v>
      </c>
      <c r="G47" t="s">
        <v>612</v>
      </c>
      <c r="H47" t="s">
        <v>478</v>
      </c>
      <c r="I47">
        <v>1803</v>
      </c>
      <c r="J47" t="s">
        <v>220</v>
      </c>
      <c r="K47" t="s">
        <v>1067</v>
      </c>
      <c r="L47">
        <v>86</v>
      </c>
      <c r="M47">
        <v>137.6</v>
      </c>
      <c r="N47" s="103">
        <v>804.39</v>
      </c>
      <c r="P47" t="s">
        <v>101</v>
      </c>
      <c r="Q47" s="103">
        <v>1874.72</v>
      </c>
      <c r="R47">
        <v>6</v>
      </c>
      <c r="S47" s="103">
        <v>3177.28</v>
      </c>
      <c r="T47" t="s">
        <v>1109</v>
      </c>
      <c r="V47" t="s">
        <v>818</v>
      </c>
      <c r="W47" t="s">
        <v>927</v>
      </c>
      <c r="X47" t="str">
        <f t="shared" si="8"/>
        <v>Rhodium</v>
      </c>
      <c r="Y47" t="str">
        <f t="shared" si="3"/>
        <v>Silber</v>
      </c>
      <c r="Z47" t="s">
        <v>989</v>
      </c>
      <c r="AA47" s="72" t="s">
        <v>100</v>
      </c>
      <c r="AB47" s="108"/>
      <c r="AC47" s="72"/>
      <c r="AD47" s="87" t="s">
        <v>252</v>
      </c>
      <c r="AE47" s="87" t="str">
        <f t="shared" si="9"/>
        <v>#REDIRECT [[Palladium]]</v>
      </c>
      <c r="AG47" t="str">
        <f>C29</f>
        <v>Nickel</v>
      </c>
      <c r="AH47" t="str">
        <f t="shared" si="18"/>
        <v>Platin</v>
      </c>
      <c r="AK47" t="str">
        <f t="shared" si="4"/>
        <v xml:space="preserve"> wurde 1803 in England durch Wollaston entdeckt.</v>
      </c>
      <c r="AN47" t="str">
        <f t="shared" si="20"/>
        <v>046</v>
      </c>
      <c r="AO47" t="s">
        <v>1236</v>
      </c>
      <c r="AP47" s="87" t="str">
        <f t="shared" si="15"/>
        <v>{{Element|Ordnungszahl=46|Symbol=Pd|Name=Palladium|Atommasse=106,42|EN=2,2|BP=3125 °C|MP=1550 °C|Dichte=12,02 g/cm³|Ionenradius=86|Ivolt=804,39|Aradius=137,6</v>
      </c>
      <c r="AQ47" s="87" t="str">
        <f t="shared" si="5"/>
        <v>|Enthalpie=378.2|IVolt2=1874,72|Wert=6|IVolt3=3177,28|Farbe=weiß|Flamme=|Elektronenkonfiguration=[Kr] 4d10|EK-Wiki=[Kr] 4d&lt;sup&gt;10&lt;/sup&gt;|pre=Rhodium|next=Silber|Metall=Metall|E-Name=Palladium|L-Name=</v>
      </c>
      <c r="AR47" s="87" t="str">
        <f t="shared" si="6"/>
        <v>|Verwendung=|Wortherkunft=Palladium wurde 1804 nach dem zwei Jahre vorher entdeckten Asteroiden Pallas benannt.|L-Abk. bzw. redirect=#REDIRECT [[Palladium]]|radioaktiv=|hoch=Nickel|runter=Platin|Bild-Element=|Bild-Verwendung=|www= wurde 1803 in England durch Wollaston entdeckt.|E-Gruppe=|Sonstiges-kurz=|OZ3=046|WL=nichda|Text= }}
[[Kategorie:Chemie]][[Kategorie:Chemikalien]]</v>
      </c>
      <c r="AS47" s="104" t="str">
        <f t="shared" si="19"/>
        <v>{{Element|Ordnungszahl=46|Symbol=Pd|Name=Palladium|Atommasse=106,42|EN=2,2|BP=3125 °C|MP=1550 °C|Dichte=12,02 g/cm³|Ionenradius=86|Ivolt=804,39|Aradius=137,6|Enthalpie=378.2|IVolt2=1874,72|Wert=6|IVolt3=3177,28|Farbe=weiß|Flamme=|Elektronenkonfiguration=[Kr] 4d10|EK-Wiki=[Kr] 4d&lt;sup&gt;10&lt;/sup&gt;|pre=Rhodium|next=Silber|Metall=Metall|E-Name=Palladium|L-Name=|Verwendung=|Wortherkunft=Palladium wurde 1804 nach dem zwei Jahre vorher entdeckten Asteroiden Pallas benannt.|L-Abk. bzw. redirect=#REDIRECT [[Palladium]]|radioaktiv=|hoch=Nickel|runter=Platin|Bild-Element=|Bild-Verwendung=|www= wurde 1803 in England durch Wollaston entdeckt.|E-Gruppe=|Sonstiges-kurz=|OZ3=046|WL=nichda|Text= }}
[[Kategorie:Chemie]][[Kategorie:Chemikalien]]</v>
      </c>
      <c r="AT47" t="str">
        <f t="shared" si="16"/>
        <v xml:space="preserve"> wurde 1803 in England durch Wollaston entdeckt. http://www.webelements.com/webelements/elements/media/element-pics/Pd.jpg</v>
      </c>
    </row>
    <row r="48" spans="1:46" ht="345">
      <c r="A48">
        <v>47</v>
      </c>
      <c r="B48" t="s">
        <v>102</v>
      </c>
      <c r="C48" t="s">
        <v>103</v>
      </c>
      <c r="D48">
        <v>107.8682</v>
      </c>
      <c r="E48">
        <v>1.9</v>
      </c>
      <c r="F48" t="s">
        <v>613</v>
      </c>
      <c r="G48" t="s">
        <v>614</v>
      </c>
      <c r="H48" t="s">
        <v>479</v>
      </c>
      <c r="I48" t="s">
        <v>992</v>
      </c>
      <c r="L48">
        <v>113</v>
      </c>
      <c r="M48">
        <v>144.4</v>
      </c>
      <c r="N48" s="103">
        <v>731.01</v>
      </c>
      <c r="P48" t="s">
        <v>104</v>
      </c>
      <c r="Q48" s="103">
        <v>2073.48</v>
      </c>
      <c r="R48">
        <v>1</v>
      </c>
      <c r="S48" s="103">
        <v>3360.61</v>
      </c>
      <c r="T48" t="s">
        <v>1227</v>
      </c>
      <c r="V48" t="s">
        <v>819</v>
      </c>
      <c r="W48" t="s">
        <v>928</v>
      </c>
      <c r="X48" t="str">
        <f>C47</f>
        <v>Palladium</v>
      </c>
      <c r="Y48" t="str">
        <f t="shared" si="3"/>
        <v>Cadmium</v>
      </c>
      <c r="Z48" t="s">
        <v>989</v>
      </c>
      <c r="AA48" s="72" t="s">
        <v>134</v>
      </c>
      <c r="AB48" s="108" t="s">
        <v>1153</v>
      </c>
      <c r="AC48" s="72"/>
      <c r="AD48" s="87" t="s">
        <v>1204</v>
      </c>
      <c r="AE48" s="87" t="str">
        <f>CONCATENATE("&lt;b&gt;{{PAGENAME}}&lt;/b&gt; ist das chemische Symbol für das [[PSE|Element]] &lt;b&gt;&amp;rarr; [[",C48,"]]&lt;/b&gt;, von lateinisch ",AB48,".
[[Kategorie:Chemie]][[Kategorie:Chemikalien]]")</f>
        <v>&lt;b&gt;{{PAGENAME}}&lt;/b&gt; ist das chemische Symbol für das [[PSE|Element]] &lt;b&gt;&amp;rarr; [[Silber]]&lt;/b&gt;, von lateinisch &lt;b&gt;&lt;i&gt;A&lt;/b&gt;r&lt;/b&gt;g&lt;/b&gt;entum&lt;/i&gt;.
[[Kategorie:Chemie]][[Kategorie:Chemikalien]]</v>
      </c>
      <c r="AG48" t="s">
        <v>46</v>
      </c>
      <c r="AH48" t="str">
        <f t="shared" si="18"/>
        <v>Gold</v>
      </c>
      <c r="AK48" t="s">
        <v>1159</v>
      </c>
      <c r="AN48" t="str">
        <f t="shared" si="20"/>
        <v>047</v>
      </c>
      <c r="AO48" t="s">
        <v>1235</v>
      </c>
      <c r="AP48" s="87" t="str">
        <f t="shared" si="15"/>
        <v>{{Element|Ordnungszahl=47|Symbol=Ag|Name=Silber|Atommasse=107,8682|EN=1,9|BP=2210 °C|MP=961 °C|Dichte=10,49 g/cm³|Ionenradius=113|Ivolt=731,01|Aradius=144,4</v>
      </c>
      <c r="AQ48" s="87" t="str">
        <f t="shared" si="5"/>
        <v>|Enthalpie=284.6|IVolt2=2073,48|Wert=1|IVolt3=3360,61|Farbe=silbrig|Flamme=|Elektronenkonfiguration=[Kr] 5s1 4d10|EK-Wiki=[Kr] 5s&lt;sup&gt;1&lt;/sup&gt; 4d&lt;sup&gt;10&lt;/sup&gt;|pre=Palladium|next=Cadmium|Metall=Metall|E-Name=Silver|L-Name=&lt;b&gt;&lt;i&gt;A&lt;/b&gt;r&lt;/b&gt;g&lt;/b&gt;entum&lt;/i&gt;</v>
      </c>
      <c r="AR48" s="87" t="str">
        <f t="shared" si="6"/>
        <v>|Verwendung=|Wortherkunft=Das Elementsymbol Ag leitet sich von dem lateinischen Wort '''A'''r'''g'''entum = Silber ab. Es ist neben Kupfer eines von nur zwei Elementen , welche Namensgeber für ein Land sind (Silber für Argentinien und Kupfer für Zypern), während der umgekehrte Fall häufiger vorkommt. Der deutsche Name Silber stammt vom althochdeutschen Wort Silabar, das möglicherweise auf Homers Sagenland ''Salybe'' zurückgeht.|L-Abk. bzw. redirect=&lt;b&gt;{{PAGENAME}}&lt;/b&gt; ist das chemische Symbol für das [[PSE|Element]] &lt;b&gt;&amp;rarr; [[Silber]]&lt;/b&gt;, von lateinisch &lt;b&gt;&lt;i&gt;A&lt;/b&gt;r&lt;/b&gt;g&lt;/b&gt;entum&lt;/i&gt;.
[[Kategorie:Chemie]][[Kategorie:Chemikalien]]|radioaktiv=|hoch=Kupfer|runter=Gold|Bild-Element=|Bild-Verwendung=|www= ist seit dem Altertum bekannt.|E-Gruppe=|Sonstiges-kurz=|OZ3=047|WL=Sammlung|Text= }}
[[Kategorie:Chemie]][[Kategorie:Chemikalien]]</v>
      </c>
      <c r="AS48" s="104" t="str">
        <f t="shared" si="19"/>
        <v>{{Element|Ordnungszahl=47|Symbol=Ag|Name=Silber|Atommasse=107,8682|EN=1,9|BP=2210 °C|MP=961 °C|Dichte=10,49 g/cm³|Ionenradius=113|Ivolt=731,01|Aradius=144,4|Enthalpie=284.6|IVolt2=2073,48|Wert=1|IVolt3=3360,61|Farbe=silbrig|Flamme=|Elektronenkonfiguration=[Kr] 5s1 4d10|EK-Wiki=[Kr] 5s&lt;sup&gt;1&lt;/sup&gt; 4d&lt;sup&gt;10&lt;/sup&gt;|pre=Palladium|next=Cadmium|Metall=Metall|E-Name=Silver|L-Name=&lt;b&gt;&lt;i&gt;A&lt;/b&gt;r&lt;/b&gt;g&lt;/b&gt;entum&lt;/i&gt;|Verwendung=|Wortherkunft=Das Elementsymbol Ag leitet sich von dem lateinischen Wort '''A'''r'''g'''entum = Silber ab. Es ist neben Kupfer eines von nur zwei Elementen , welche Namensgeber für ein Land sind (Silber für Argentinien und Kupfer für Zypern), während der umgekehrte Fall häufiger vorkommt. Der deutsche Name Silber stammt vom althochdeutschen Wort Silabar, das möglicherweise auf Homers Sagenland ''Salybe'' zurückgeht.|L-Abk. bzw. redirect=&lt;b&gt;{{PAGENAME}}&lt;/b&gt; ist das chemische Symbol für das [[PSE|Element]] &lt;b&gt;&amp;rarr; [[Silber]]&lt;/b&gt;, von lateinisch &lt;b&gt;&lt;i&gt;A&lt;/b&gt;r&lt;/b&gt;g&lt;/b&gt;entum&lt;/i&gt;.
[[Kategorie:Chemie]][[Kategorie:Chemikalien]]|radioaktiv=|hoch=Kupfer|runter=Gold|Bild-Element=|Bild-Verwendung=|www= ist seit dem Altertum bekannt.|E-Gruppe=|Sonstiges-kurz=|OZ3=047|WL=Sammlung|Text= }}
[[Kategorie:Chemie]][[Kategorie:Chemikalien]]</v>
      </c>
      <c r="AT48" t="str">
        <f t="shared" si="16"/>
        <v xml:space="preserve"> ist seit dem Altertum bekannt. http://www.webelements.com/webelements/elements/media/element-pics/Ag.jpg</v>
      </c>
    </row>
    <row r="49" spans="1:46" ht="248.4">
      <c r="A49">
        <v>48</v>
      </c>
      <c r="B49" t="s">
        <v>105</v>
      </c>
      <c r="C49" t="s">
        <v>106</v>
      </c>
      <c r="D49">
        <v>112.411</v>
      </c>
      <c r="E49">
        <v>1.7</v>
      </c>
      <c r="F49" t="s">
        <v>615</v>
      </c>
      <c r="G49" t="s">
        <v>616</v>
      </c>
      <c r="H49" t="s">
        <v>480</v>
      </c>
      <c r="I49">
        <v>1817</v>
      </c>
      <c r="J49" t="s">
        <v>221</v>
      </c>
      <c r="K49" t="s">
        <v>1120</v>
      </c>
      <c r="L49">
        <v>103</v>
      </c>
      <c r="M49">
        <v>148.9</v>
      </c>
      <c r="N49" s="103">
        <v>867.78</v>
      </c>
      <c r="P49">
        <v>112</v>
      </c>
      <c r="Q49" s="103">
        <v>1631.42</v>
      </c>
      <c r="R49">
        <v>2</v>
      </c>
      <c r="S49" s="103">
        <v>3616.3</v>
      </c>
      <c r="T49" t="s">
        <v>1229</v>
      </c>
      <c r="V49" t="s">
        <v>820</v>
      </c>
      <c r="W49" t="s">
        <v>929</v>
      </c>
      <c r="X49" t="str">
        <f t="shared" si="8"/>
        <v>Silber</v>
      </c>
      <c r="Y49" t="str">
        <f t="shared" si="3"/>
        <v>Indium</v>
      </c>
      <c r="Z49" t="s">
        <v>989</v>
      </c>
      <c r="AA49" s="72" t="s">
        <v>106</v>
      </c>
      <c r="AB49" s="108"/>
      <c r="AC49" s="72"/>
      <c r="AD49" s="87" t="s">
        <v>253</v>
      </c>
      <c r="AE49" s="87" t="str">
        <f t="shared" si="9"/>
        <v>#REDIRECT [[Cadmium]]</v>
      </c>
      <c r="AG49" t="s">
        <v>50</v>
      </c>
      <c r="AH49" t="str">
        <f t="shared" si="18"/>
        <v>Quecksilber</v>
      </c>
      <c r="AK49" t="str">
        <f t="shared" si="4"/>
        <v xml:space="preserve"> wurde 1817 in Deutschland durch Stromeyer entdeckt.</v>
      </c>
      <c r="AN49" t="str">
        <f t="shared" si="20"/>
        <v>048</v>
      </c>
      <c r="AO49" t="s">
        <v>1235</v>
      </c>
      <c r="AP49" s="87" t="str">
        <f t="shared" si="15"/>
        <v>{{Element|Ordnungszahl=48|Symbol=Cd|Name=Cadmium|Atommasse=112,411|EN=1,7|BP=765 °C|MP=321 °C|Dichte=8,64 g/cm³|Ionenradius=103|Ivolt=867,78|Aradius=148,9</v>
      </c>
      <c r="AQ49" s="87" t="str">
        <f t="shared" si="5"/>
        <v>|Enthalpie=112|IVolt2=1631,42|Wert=2|IVolt3=3616,3|Farbe=silbrig-weiß|Flamme=|Elektronenkonfiguration=[Kr] 5s2 4d10|EK-Wiki=[Kr] 5s&lt;sup&gt;2&lt;/sup&gt; 4d&lt;sup&gt;10&lt;/sup&gt;|pre=Silber|next=Indium|Metall=Metall|E-Name=Cadmium|L-Name=</v>
      </c>
      <c r="AR49" s="87" t="str">
        <f t="shared" si="6"/>
        <v>|Verwendung=|Wortherkunft=Das Wort Cadmium zu lat. cadmea oder cadmia, welches sich von dem altgriechischen Wort kadmía = Zinkerz herleitet.|L-Abk. bzw. redirect=#REDIRECT [[Cadmium]]|radioaktiv=|hoch=Zink|runter=Quecksilber|Bild-Element=|Bild-Verwendung=|www= wurde 1817 in Deutschland durch Stromeyer entdeckt.|E-Gruppe=|Sonstiges-kurz=|OZ3=048|WL=Sammlung|Text= }}
[[Kategorie:Chemie]][[Kategorie:Chemikalien]]</v>
      </c>
      <c r="AS49" s="104" t="str">
        <f t="shared" si="19"/>
        <v>{{Element|Ordnungszahl=48|Symbol=Cd|Name=Cadmium|Atommasse=112,411|EN=1,7|BP=765 °C|MP=321 °C|Dichte=8,64 g/cm³|Ionenradius=103|Ivolt=867,78|Aradius=148,9|Enthalpie=112|IVolt2=1631,42|Wert=2|IVolt3=3616,3|Farbe=silbrig-weiß|Flamme=|Elektronenkonfiguration=[Kr] 5s2 4d10|EK-Wiki=[Kr] 5s&lt;sup&gt;2&lt;/sup&gt; 4d&lt;sup&gt;10&lt;/sup&gt;|pre=Silber|next=Indium|Metall=Metall|E-Name=Cadmium|L-Name=|Verwendung=|Wortherkunft=Das Wort Cadmium zu lat. cadmea oder cadmia, welches sich von dem altgriechischen Wort kadmía = Zinkerz herleitet.|L-Abk. bzw. redirect=#REDIRECT [[Cadmium]]|radioaktiv=|hoch=Zink|runter=Quecksilber|Bild-Element=|Bild-Verwendung=|www= wurde 1817 in Deutschland durch Stromeyer entdeckt.|E-Gruppe=|Sonstiges-kurz=|OZ3=048|WL=Sammlung|Text= }}
[[Kategorie:Chemie]][[Kategorie:Chemikalien]]</v>
      </c>
      <c r="AT49" t="str">
        <f t="shared" si="16"/>
        <v xml:space="preserve"> wurde 1817 in Deutschland durch Stromeyer entdeckt. http://www.webelements.com/webelements/elements/media/element-pics/Cd.jpg</v>
      </c>
    </row>
    <row r="50" spans="1:46" ht="234.6">
      <c r="A50">
        <v>49</v>
      </c>
      <c r="B50" t="s">
        <v>107</v>
      </c>
      <c r="C50" t="s">
        <v>108</v>
      </c>
      <c r="D50">
        <v>114.818</v>
      </c>
      <c r="E50">
        <v>1.7</v>
      </c>
      <c r="F50" t="s">
        <v>617</v>
      </c>
      <c r="G50" t="s">
        <v>618</v>
      </c>
      <c r="H50" t="s">
        <v>481</v>
      </c>
      <c r="I50">
        <v>1863</v>
      </c>
      <c r="J50" t="s">
        <v>222</v>
      </c>
      <c r="K50" t="s">
        <v>1120</v>
      </c>
      <c r="L50">
        <v>92</v>
      </c>
      <c r="M50">
        <v>162.6</v>
      </c>
      <c r="N50" s="103">
        <v>558.29999999999995</v>
      </c>
      <c r="P50" t="s">
        <v>109</v>
      </c>
      <c r="Q50" s="103">
        <v>1820.67</v>
      </c>
      <c r="R50">
        <v>3</v>
      </c>
      <c r="S50" s="103">
        <v>2704.5</v>
      </c>
      <c r="T50" t="s">
        <v>1229</v>
      </c>
      <c r="U50" t="s">
        <v>110</v>
      </c>
      <c r="V50" t="s">
        <v>833</v>
      </c>
      <c r="W50" t="s">
        <v>930</v>
      </c>
      <c r="X50" t="str">
        <f t="shared" si="8"/>
        <v>Cadmium</v>
      </c>
      <c r="Y50" t="str">
        <f t="shared" si="3"/>
        <v>Zinn</v>
      </c>
      <c r="Z50" t="s">
        <v>989</v>
      </c>
      <c r="AA50" s="72" t="s">
        <v>108</v>
      </c>
      <c r="AB50" s="108"/>
      <c r="AC50" s="72"/>
      <c r="AD50" s="87" t="s">
        <v>254</v>
      </c>
      <c r="AE50" s="87" t="str">
        <f t="shared" si="9"/>
        <v>#REDIRECT [[Indium]]</v>
      </c>
      <c r="AG50" t="str">
        <f>C32</f>
        <v>Gallium</v>
      </c>
      <c r="AH50" t="str">
        <f t="shared" si="18"/>
        <v>Thallium</v>
      </c>
      <c r="AK50" t="str">
        <f t="shared" si="4"/>
        <v xml:space="preserve"> wurde 1863 in Deutschland durch Reich, Richter entdeckt.</v>
      </c>
      <c r="AN50" t="str">
        <f t="shared" si="20"/>
        <v>049</v>
      </c>
      <c r="AO50" t="s">
        <v>1236</v>
      </c>
      <c r="AP50" s="87" t="str">
        <f t="shared" si="15"/>
        <v>{{Element|Ordnungszahl=49|Symbol=In|Name=Indium|Atommasse=114,818|EN=1,7|BP=2000 °C|MP=156 °C|Dichte=7,31 g/cm³|Ionenradius=92|Ivolt=558,3|Aradius=162,6</v>
      </c>
      <c r="AQ50" s="87" t="str">
        <f t="shared" si="5"/>
        <v>|Enthalpie=243.3|IVolt2=1820,67|Wert=3|IVolt3=2704,5|Farbe=silbrig-weiß|Flamme=violettblau|Elektronenkonfiguration=[Kr] 5s2 4d10 5p1|EK-Wiki=[Kr] 5s&lt;sup&gt;2&lt;/sup&gt; 4d&lt;sup&gt;10&lt;/sup&gt; 5p&lt;sup&gt;1&lt;/sup&gt;|pre=Cadmium|next=Zinn|Metall=Metall|E-Name=Indium|L-Name=</v>
      </c>
      <c r="AR50" s="87" t="str">
        <f t="shared" si="6"/>
        <v>|Verwendung=|Wortherkunft=Indium (benannt nach der ''indigo''farbenen Absorptionsbande im Linienspektrum)|L-Abk. bzw. redirect=#REDIRECT [[Indium]]|radioaktiv=|hoch=Gallium|runter=Thallium|Bild-Element=|Bild-Verwendung=|www= wurde 1863 in Deutschland durch Reich, Richter entdeckt.|E-Gruppe=|Sonstiges-kurz=|OZ3=049|WL=nichda|Text= }}
[[Kategorie:Chemie]][[Kategorie:Chemikalien]]</v>
      </c>
      <c r="AS50" s="104" t="str">
        <f t="shared" si="19"/>
        <v>{{Element|Ordnungszahl=49|Symbol=In|Name=Indium|Atommasse=114,818|EN=1,7|BP=2000 °C|MP=156 °C|Dichte=7,31 g/cm³|Ionenradius=92|Ivolt=558,3|Aradius=162,6|Enthalpie=243.3|IVolt2=1820,67|Wert=3|IVolt3=2704,5|Farbe=silbrig-weiß|Flamme=violettblau|Elektronenkonfiguration=[Kr] 5s2 4d10 5p1|EK-Wiki=[Kr] 5s&lt;sup&gt;2&lt;/sup&gt; 4d&lt;sup&gt;10&lt;/sup&gt; 5p&lt;sup&gt;1&lt;/sup&gt;|pre=Cadmium|next=Zinn|Metall=Metall|E-Name=Indium|L-Name=|Verwendung=|Wortherkunft=Indium (benannt nach der ''indigo''farbenen Absorptionsbande im Linienspektrum)|L-Abk. bzw. redirect=#REDIRECT [[Indium]]|radioaktiv=|hoch=Gallium|runter=Thallium|Bild-Element=|Bild-Verwendung=|www= wurde 1863 in Deutschland durch Reich, Richter entdeckt.|E-Gruppe=|Sonstiges-kurz=|OZ3=049|WL=nichda|Text= }}
[[Kategorie:Chemie]][[Kategorie:Chemikalien]]</v>
      </c>
      <c r="AT50" t="str">
        <f t="shared" si="16"/>
        <v xml:space="preserve"> wurde 1863 in Deutschland durch Reich, Richter entdeckt. http://www.webelements.com/webelements/elements/media/element-pics/In.jpg</v>
      </c>
    </row>
    <row r="51" spans="1:46" ht="317.39999999999998">
      <c r="A51">
        <v>50</v>
      </c>
      <c r="B51" t="s">
        <v>111</v>
      </c>
      <c r="C51" t="s">
        <v>112</v>
      </c>
      <c r="D51">
        <v>118.71</v>
      </c>
      <c r="E51">
        <v>1.8</v>
      </c>
      <c r="F51" t="s">
        <v>619</v>
      </c>
      <c r="G51" t="s">
        <v>620</v>
      </c>
      <c r="H51" t="s">
        <v>482</v>
      </c>
      <c r="I51" t="s">
        <v>992</v>
      </c>
      <c r="L51">
        <v>74</v>
      </c>
      <c r="M51">
        <v>140.5</v>
      </c>
      <c r="N51" s="103">
        <v>708.58</v>
      </c>
      <c r="P51" t="s">
        <v>113</v>
      </c>
      <c r="Q51" s="103">
        <v>1411.81</v>
      </c>
      <c r="R51">
        <v>6</v>
      </c>
      <c r="S51" s="103">
        <v>2943.07</v>
      </c>
      <c r="T51" t="s">
        <v>1109</v>
      </c>
      <c r="V51" t="s">
        <v>834</v>
      </c>
      <c r="W51" t="s">
        <v>931</v>
      </c>
      <c r="X51" t="str">
        <f t="shared" si="8"/>
        <v>Indium</v>
      </c>
      <c r="Y51" t="str">
        <f t="shared" si="3"/>
        <v>Antimon</v>
      </c>
      <c r="Z51" t="s">
        <v>989</v>
      </c>
      <c r="AA51" s="72" t="s">
        <v>140</v>
      </c>
      <c r="AB51" s="108" t="s">
        <v>1154</v>
      </c>
      <c r="AC51" s="72"/>
      <c r="AD51" s="87" t="s">
        <v>0</v>
      </c>
      <c r="AE51" s="87" t="str">
        <f>CONCATENATE("&lt;b&gt;{{PAGENAME}}&lt;/b&gt; ist das chemische Symbol für das [[PSE|Element]] &lt;b&gt;&amp;rarr; [[",C51,"]]&lt;/b&gt;, von lateinisch ",AB51,".
[[Kategorie:Chemie]][[Kategorie:Chemikalien]]")</f>
        <v>&lt;b&gt;{{PAGENAME}}&lt;/b&gt; ist das chemische Symbol für das [[PSE|Element]] &lt;b&gt;&amp;rarr; [[Zinn]]&lt;/b&gt;, von lateinisch &lt;b&gt;&lt;i&gt;S&lt;/b&gt;ta&lt;/b&gt;n&lt;/b&gt;num&lt;/i&gt;.
[[Kategorie:Chemie]][[Kategorie:Chemikalien]]</v>
      </c>
      <c r="AG51" t="s">
        <v>56</v>
      </c>
      <c r="AH51" t="str">
        <f t="shared" si="18"/>
        <v>Blei</v>
      </c>
      <c r="AK51" t="s">
        <v>1159</v>
      </c>
      <c r="AN51" t="str">
        <f t="shared" si="20"/>
        <v>050</v>
      </c>
      <c r="AO51" t="s">
        <v>1235</v>
      </c>
      <c r="AP51" s="87" t="str">
        <f t="shared" si="15"/>
        <v>{{Element|Ordnungszahl=50|Symbol=Sn|Name=Zinn|Atommasse=118,71|EN=1,8|BP=2270 °C|MP=232 °C|Dichte=7,29 g/cm³|Ionenradius=74|Ivolt=708,58|Aradius=140,5</v>
      </c>
      <c r="AQ51" s="87" t="str">
        <f t="shared" si="5"/>
        <v>|Enthalpie=302.1|IVolt2=1411,81|Wert=6|IVolt3=2943,07|Farbe=weiß|Flamme=|Elektronenkonfiguration=[Kr] 5s2 4d10 5p2|EK-Wiki=[Kr] 5s&lt;sup&gt;2&lt;/sup&gt; 4d&lt;sup&gt;10&lt;/sup&gt; 5p&lt;sup&gt;2&lt;/sup&gt;|pre=Indium|next=Antimon|Metall=Metall|E-Name=Tin|L-Name=&lt;b&gt;&lt;i&gt;S&lt;/b&gt;ta&lt;/b&gt;n&lt;/b&gt;num&lt;/i&gt;</v>
      </c>
      <c r="AR51" s="87" t="str">
        <f t="shared" si="6"/>
        <v>|Verwendung=|Wortherkunft='Zinn''' (Germanische Sprachen|altgermanische Bezeichnung: z. B. althochdeutsch ''zin'' = Stab, Zinn). Das Metall Zinn wurde ursprünglich in Stabform gegossen. Im Lateinischen heißt Zinn "''stannum''", daher rührt auch das chem. Symbol Sn.|L-Abk. bzw. redirect=&lt;b&gt;{{PAGENAME}}&lt;/b&gt; ist das chemische Symbol für das [[PSE|Element]] &lt;b&gt;&amp;rarr; [[Zinn]]&lt;/b&gt;, von lateinisch &lt;b&gt;&lt;i&gt;S&lt;/b&gt;ta&lt;/b&gt;n&lt;/b&gt;num&lt;/i&gt;.
[[Kategorie:Chemie]][[Kategorie:Chemikalien]]|radioaktiv=|hoch=Germanium|runter=Blei|Bild-Element=|Bild-Verwendung=|www= ist seit dem Altertum bekannt.|E-Gruppe=|Sonstiges-kurz=|OZ3=050|WL=Sammlung|Text= }}
[[Kategorie:Chemie]][[Kategorie:Chemikalien]]</v>
      </c>
      <c r="AS51" s="104" t="str">
        <f t="shared" si="19"/>
        <v>{{Element|Ordnungszahl=50|Symbol=Sn|Name=Zinn|Atommasse=118,71|EN=1,8|BP=2270 °C|MP=232 °C|Dichte=7,29 g/cm³|Ionenradius=74|Ivolt=708,58|Aradius=140,5|Enthalpie=302.1|IVolt2=1411,81|Wert=6|IVolt3=2943,07|Farbe=weiß|Flamme=|Elektronenkonfiguration=[Kr] 5s2 4d10 5p2|EK-Wiki=[Kr] 5s&lt;sup&gt;2&lt;/sup&gt; 4d&lt;sup&gt;10&lt;/sup&gt; 5p&lt;sup&gt;2&lt;/sup&gt;|pre=Indium|next=Antimon|Metall=Metall|E-Name=Tin|L-Name=&lt;b&gt;&lt;i&gt;S&lt;/b&gt;ta&lt;/b&gt;n&lt;/b&gt;num&lt;/i&gt;|Verwendung=|Wortherkunft='Zinn''' (Germanische Sprachen|altgermanische Bezeichnung: z. B. althochdeutsch ''zin'' = Stab, Zinn). Das Metall Zinn wurde ursprünglich in Stabform gegossen. Im Lateinischen heißt Zinn "''stannum''", daher rührt auch das chem. Symbol Sn.|L-Abk. bzw. redirect=&lt;b&gt;{{PAGENAME}}&lt;/b&gt; ist das chemische Symbol für das [[PSE|Element]] &lt;b&gt;&amp;rarr; [[Zinn]]&lt;/b&gt;, von lateinisch &lt;b&gt;&lt;i&gt;S&lt;/b&gt;ta&lt;/b&gt;n&lt;/b&gt;num&lt;/i&gt;.
[[Kategorie:Chemie]][[Kategorie:Chemikalien]]|radioaktiv=|hoch=Germanium|runter=Blei|Bild-Element=|Bild-Verwendung=|www= ist seit dem Altertum bekannt.|E-Gruppe=|Sonstiges-kurz=|OZ3=050|WL=Sammlung|Text= }}
[[Kategorie:Chemie]][[Kategorie:Chemikalien]]</v>
      </c>
      <c r="AT51" t="str">
        <f t="shared" si="16"/>
        <v xml:space="preserve"> ist seit dem Altertum bekannt. http://www.webelements.com/webelements/elements/media/element-pics/Sn.jpg</v>
      </c>
    </row>
    <row r="52" spans="1:46" ht="331.2">
      <c r="A52">
        <v>51</v>
      </c>
      <c r="B52" t="s">
        <v>114</v>
      </c>
      <c r="C52" t="s">
        <v>115</v>
      </c>
      <c r="D52">
        <v>121.76</v>
      </c>
      <c r="E52">
        <v>1.9</v>
      </c>
      <c r="F52" t="s">
        <v>597</v>
      </c>
      <c r="G52" t="s">
        <v>621</v>
      </c>
      <c r="H52" t="s">
        <v>483</v>
      </c>
      <c r="I52" t="s">
        <v>992</v>
      </c>
      <c r="L52">
        <v>62</v>
      </c>
      <c r="M52">
        <v>145</v>
      </c>
      <c r="N52" s="103">
        <v>830.59</v>
      </c>
      <c r="P52" t="s">
        <v>116</v>
      </c>
      <c r="Q52" s="103">
        <v>1594.96</v>
      </c>
      <c r="R52">
        <v>8</v>
      </c>
      <c r="S52" s="103">
        <v>2441.1</v>
      </c>
      <c r="T52" t="s">
        <v>52</v>
      </c>
      <c r="V52" t="s">
        <v>835</v>
      </c>
      <c r="W52" t="s">
        <v>932</v>
      </c>
      <c r="X52" t="str">
        <f t="shared" si="8"/>
        <v>Zinn</v>
      </c>
      <c r="Y52" t="str">
        <f t="shared" si="3"/>
        <v>Tellur</v>
      </c>
      <c r="Z52" t="s">
        <v>991</v>
      </c>
      <c r="AA52" s="72" t="s">
        <v>139</v>
      </c>
      <c r="AB52" s="108" t="s">
        <v>1155</v>
      </c>
      <c r="AC52" s="72"/>
      <c r="AD52" s="87" t="s">
        <v>255</v>
      </c>
      <c r="AE52" s="87" t="str">
        <f>CONCATENATE("&lt;b&gt;{{PAGENAME}}&lt;/b&gt; ist das chemische Symbol für das [[PSE|Element]] &lt;b&gt;&amp;rarr; [[",C52,"]]&lt;/b&gt;, von lateinisch ",AB52,".
[[Kategorie:Chemie]][[Kategorie:Chemikalien]]")</f>
        <v>&lt;b&gt;{{PAGENAME}}&lt;/b&gt; ist das chemische Symbol für das [[PSE|Element]] &lt;b&gt;&amp;rarr; [[Antimon]]&lt;/b&gt;, von lateinisch &lt;b&gt;&lt;i&gt;S&lt;/b&gt;ti&lt;/b&gt;b&lt;/b&gt;ium&lt;/i&gt;.
[[Kategorie:Chemie]][[Kategorie:Chemikalien]]</v>
      </c>
      <c r="AG52" t="s">
        <v>59</v>
      </c>
      <c r="AH52" t="str">
        <f t="shared" si="18"/>
        <v>Bismut</v>
      </c>
      <c r="AK52" t="s">
        <v>1159</v>
      </c>
      <c r="AN52" t="str">
        <f t="shared" si="20"/>
        <v>051</v>
      </c>
      <c r="AO52" t="s">
        <v>1235</v>
      </c>
      <c r="AP52" s="87" t="str">
        <f t="shared" si="15"/>
        <v>{{Element|Ordnungszahl=51|Symbol=Sb|Name=Antimon|Atommasse=121,76|EN=1,9|BP=1380 °C|MP=631 °C|Dichte=6,69 g/cm³|Ionenradius=62|Ivolt=830,59|Aradius=145</v>
      </c>
      <c r="AQ52" s="87" t="str">
        <f t="shared" si="5"/>
        <v>|Enthalpie=262.3|IVolt2=1594,96|Wert=8|IVolt3=2441,1|Farbe=blau-weiß|Flamme=|Elektronenkonfiguration=[Kr] 5s2 4d10 5p3|EK-Wiki=[Kr] 5s&lt;sup&gt;2&lt;/sup&gt; 4d&lt;sup&gt;10&lt;/sup&gt; 5p&lt;sup&gt;3&lt;/sup&gt;|pre=Zinn|next=Tellur|Metall=Halbmetall|E-Name=Antimony|L-Name=&lt;b&gt;&lt;i&gt;S&lt;/b&gt;ti&lt;/b&gt;b&lt;/b&gt;ium&lt;/i&gt;</v>
      </c>
      <c r="AR52" s="87" t="str">
        <f t="shared" si="6"/>
        <v>|Verwendung=|Wortherkunft=Das Wort Antimon kommt vermutlich von arabischen itmid, das Symbol vom lateinischen stibium (= Grauspießglanz). Antimon schon in der Bronzezeit als Zuschlag zu Kupfer verwendet, um Bronze herzustellen. Im 17. Jahrhundert ging der Name Antimon als Bezeichnung auf das Metall über. ie Kopten|koptische Bezeichnung für den Schminkpuder Antimonsulfid ging über das Griechische in das Lateinische stibium über. Die Abkürzung Sb|L-Abk. bzw. redirect=&lt;b&gt;{{PAGENAME}}&lt;/b&gt; ist das chemische Symbol für das [[PSE|Element]] &lt;b&gt;&amp;rarr; [[Antimon]]&lt;/b&gt;, von lateinisch &lt;b&gt;&lt;i&gt;S&lt;/b&gt;ti&lt;/b&gt;b&lt;/b&gt;ium&lt;/i&gt;.
[[Kategorie:Chemie]][[Kategorie:Chemikalien]]|radioaktiv=|hoch=Arsen|runter=Bismut|Bild-Element=|Bild-Verwendung=|www= ist seit dem Altertum bekannt.|E-Gruppe=|Sonstiges-kurz=|OZ3=051|WL=Sammlung|Text= }}
[[Kategorie:Chemie]][[Kategorie:Chemikalien]]</v>
      </c>
      <c r="AS52" s="104" t="str">
        <f t="shared" si="19"/>
        <v>{{Element|Ordnungszahl=51|Symbol=Sb|Name=Antimon|Atommasse=121,76|EN=1,9|BP=1380 °C|MP=631 °C|Dichte=6,69 g/cm³|Ionenradius=62|Ivolt=830,59|Aradius=145|Enthalpie=262.3|IVolt2=1594,96|Wert=8|IVolt3=2441,1|Farbe=blau-weiß|Flamme=|Elektronenkonfiguration=[Kr] 5s2 4d10 5p3|EK-Wiki=[Kr] 5s&lt;sup&gt;2&lt;/sup&gt; 4d&lt;sup&gt;10&lt;/sup&gt; 5p&lt;sup&gt;3&lt;/sup&gt;|pre=Zinn|next=Tellur|Metall=Halbmetall|E-Name=Antimony|L-Name=&lt;b&gt;&lt;i&gt;S&lt;/b&gt;ti&lt;/b&gt;b&lt;/b&gt;ium&lt;/i&gt;|Verwendung=|Wortherkunft=Das Wort Antimon kommt vermutlich von arabischen itmid, das Symbol vom lateinischen stibium (= Grauspießglanz). Antimon schon in der Bronzezeit als Zuschlag zu Kupfer verwendet, um Bronze herzustellen. Im 17. Jahrhundert ging der Name Antimon als Bezeichnung auf das Metall über. ie Kopten|koptische Bezeichnung für den Schminkpuder Antimonsulfid ging über das Griechische in das Lateinische stibium über. Die Abkürzung Sb|L-Abk. bzw. redirect=&lt;b&gt;{{PAGENAME}}&lt;/b&gt; ist das chemische Symbol für das [[PSE|Element]] &lt;b&gt;&amp;rarr; [[Antimon]]&lt;/b&gt;, von lateinisch &lt;b&gt;&lt;i&gt;S&lt;/b&gt;ti&lt;/b&gt;b&lt;/b&gt;ium&lt;/i&gt;.
[[Kategorie:Chemie]][[Kategorie:Chemikalien]]|radioaktiv=|hoch=Arsen|runter=Bismut|Bild-Element=|Bild-Verwendung=|www= ist seit dem Altertum bekannt.|E-Gruppe=|Sonstiges-kurz=|OZ3=051|WL=Sammlung|Text= }}
[[Kategorie:Chemie]][[Kategorie:Chemikalien]]</v>
      </c>
      <c r="AT52" t="str">
        <f t="shared" si="16"/>
        <v xml:space="preserve"> ist seit dem Altertum bekannt. http://www.webelements.com/webelements/elements/media/element-pics/Sb.jpg</v>
      </c>
    </row>
    <row r="53" spans="1:46" ht="220.8">
      <c r="A53">
        <v>52</v>
      </c>
      <c r="B53" t="s">
        <v>117</v>
      </c>
      <c r="C53" t="s">
        <v>118</v>
      </c>
      <c r="D53">
        <v>127.6</v>
      </c>
      <c r="E53">
        <v>2.1</v>
      </c>
      <c r="F53" t="s">
        <v>622</v>
      </c>
      <c r="G53" t="s">
        <v>623</v>
      </c>
      <c r="H53" t="s">
        <v>484</v>
      </c>
      <c r="I53">
        <v>1783</v>
      </c>
      <c r="J53" t="s">
        <v>223</v>
      </c>
      <c r="K53" t="s">
        <v>119</v>
      </c>
      <c r="L53">
        <v>97</v>
      </c>
      <c r="M53">
        <v>143.19999999999999</v>
      </c>
      <c r="N53" s="103">
        <v>869.3</v>
      </c>
      <c r="P53" t="s">
        <v>120</v>
      </c>
      <c r="Q53" s="103">
        <v>1794.64</v>
      </c>
      <c r="R53">
        <v>2</v>
      </c>
      <c r="S53" s="103">
        <v>2697.75</v>
      </c>
      <c r="T53" t="s">
        <v>1229</v>
      </c>
      <c r="V53" t="s">
        <v>836</v>
      </c>
      <c r="W53" t="s">
        <v>933</v>
      </c>
      <c r="X53" t="str">
        <f t="shared" si="8"/>
        <v>Antimon</v>
      </c>
      <c r="Y53" t="str">
        <f t="shared" si="3"/>
        <v>Iod</v>
      </c>
      <c r="Z53" t="s">
        <v>991</v>
      </c>
      <c r="AA53" s="72" t="s">
        <v>1042</v>
      </c>
      <c r="AB53" s="108"/>
      <c r="AC53" s="72"/>
      <c r="AD53" s="87" t="s">
        <v>256</v>
      </c>
      <c r="AE53" s="87" t="str">
        <f t="shared" si="9"/>
        <v>#REDIRECT [[Tellur]]</v>
      </c>
      <c r="AG53" t="str">
        <f>C35</f>
        <v>Selen</v>
      </c>
      <c r="AH53" t="str">
        <f t="shared" si="18"/>
        <v>Polonium</v>
      </c>
      <c r="AK53" t="str">
        <f t="shared" si="4"/>
        <v xml:space="preserve"> wurde 1783 in Rumänien durch Müller entdeckt.</v>
      </c>
      <c r="AN53" t="str">
        <f t="shared" si="20"/>
        <v>052</v>
      </c>
      <c r="AO53" t="s">
        <v>1236</v>
      </c>
      <c r="AP53" s="87" t="str">
        <f t="shared" si="15"/>
        <v>{{Element|Ordnungszahl=52|Symbol=Te|Name=Tellur|Atommasse=127,6|EN=2,1|BP=1390 °C|MP=450 °C|Dichte=6,25 g/cm³|Ionenradius=97|Ivolt=869,3|Aradius=143,2</v>
      </c>
      <c r="AQ53" s="87" t="str">
        <f t="shared" si="5"/>
        <v>|Enthalpie=196.7|IVolt2=1794,64|Wert=2|IVolt3=2697,75|Farbe=silbrig-weiß|Flamme=|Elektronenkonfiguration=[Kr] 5s2 4d10 5p4|EK-Wiki=[Kr] 5s&lt;sup&gt;2&lt;/sup&gt; 4d&lt;sup&gt;10&lt;/sup&gt; 5p&lt;sup&gt;4&lt;/sup&gt;|pre=Antimon|next=Iod|Metall=Halbmetall|E-Name=Tellurium|L-Name=</v>
      </c>
      <c r="AR53" s="87" t="str">
        <f t="shared" si="6"/>
        <v>|Verwendung=|Wortherkunft=Tellur (lateinisch ''tellus'' für Erde)|L-Abk. bzw. redirect=#REDIRECT [[Tellur]]|radioaktiv=|hoch=Selen|runter=Polonium|Bild-Element=|Bild-Verwendung=|www= wurde 1783 in Rumänien durch Müller entdeckt.|E-Gruppe=|Sonstiges-kurz=|OZ3=052|WL=nichda|Text= }}
[[Kategorie:Chemie]][[Kategorie:Chemikalien]]</v>
      </c>
      <c r="AS53" s="104" t="str">
        <f t="shared" si="19"/>
        <v>{{Element|Ordnungszahl=52|Symbol=Te|Name=Tellur|Atommasse=127,6|EN=2,1|BP=1390 °C|MP=450 °C|Dichte=6,25 g/cm³|Ionenradius=97|Ivolt=869,3|Aradius=143,2|Enthalpie=196.7|IVolt2=1794,64|Wert=2|IVolt3=2697,75|Farbe=silbrig-weiß|Flamme=|Elektronenkonfiguration=[Kr] 5s2 4d10 5p4|EK-Wiki=[Kr] 5s&lt;sup&gt;2&lt;/sup&gt; 4d&lt;sup&gt;10&lt;/sup&gt; 5p&lt;sup&gt;4&lt;/sup&gt;|pre=Antimon|next=Iod|Metall=Halbmetall|E-Name=Tellurium|L-Name=|Verwendung=|Wortherkunft=Tellur (lateinisch ''tellus'' für Erde)|L-Abk. bzw. redirect=#REDIRECT [[Tellur]]|radioaktiv=|hoch=Selen|runter=Polonium|Bild-Element=|Bild-Verwendung=|www= wurde 1783 in Rumänien durch Müller entdeckt.|E-Gruppe=|Sonstiges-kurz=|OZ3=052|WL=nichda|Text= }}
[[Kategorie:Chemie]][[Kategorie:Chemikalien]]</v>
      </c>
      <c r="AT53" t="str">
        <f t="shared" si="16"/>
        <v xml:space="preserve"> wurde 1783 in Rumänien durch Müller entdeckt. http://www.webelements.com/webelements/elements/media/element-pics/Te.jpg</v>
      </c>
    </row>
    <row r="54" spans="1:46" ht="248.4">
      <c r="A54">
        <v>53</v>
      </c>
      <c r="B54" t="s">
        <v>994</v>
      </c>
      <c r="C54" t="s">
        <v>121</v>
      </c>
      <c r="D54">
        <v>126.90447</v>
      </c>
      <c r="E54">
        <v>2.5</v>
      </c>
      <c r="F54" t="s">
        <v>624</v>
      </c>
      <c r="G54" t="s">
        <v>625</v>
      </c>
      <c r="H54" t="s">
        <v>485</v>
      </c>
      <c r="I54">
        <v>1811</v>
      </c>
      <c r="J54" t="s">
        <v>224</v>
      </c>
      <c r="K54" t="s">
        <v>1080</v>
      </c>
      <c r="L54">
        <v>220</v>
      </c>
      <c r="M54">
        <v>133.1</v>
      </c>
      <c r="N54" s="103">
        <v>1008.4</v>
      </c>
      <c r="P54" t="s">
        <v>122</v>
      </c>
      <c r="Q54" s="103">
        <v>1845.9</v>
      </c>
      <c r="R54">
        <v>-1</v>
      </c>
      <c r="S54" s="103">
        <v>3184.04</v>
      </c>
      <c r="T54" t="s">
        <v>123</v>
      </c>
      <c r="V54" t="s">
        <v>837</v>
      </c>
      <c r="W54" t="s">
        <v>934</v>
      </c>
      <c r="X54" t="str">
        <f t="shared" si="8"/>
        <v>Tellur</v>
      </c>
      <c r="Y54" t="str">
        <f t="shared" si="3"/>
        <v>Xenon</v>
      </c>
      <c r="Z54" t="s">
        <v>990</v>
      </c>
      <c r="AA54" s="72" t="s">
        <v>1026</v>
      </c>
      <c r="AB54" s="108"/>
      <c r="AC54" s="72"/>
      <c r="AD54" s="87" t="s">
        <v>257</v>
      </c>
      <c r="AE54" s="87" t="str">
        <f t="shared" si="9"/>
        <v>#REDIRECT [[Iod]]</v>
      </c>
      <c r="AG54" t="str">
        <f>C36</f>
        <v>Brom</v>
      </c>
      <c r="AH54" t="str">
        <f t="shared" si="18"/>
        <v>Astat</v>
      </c>
      <c r="AK54" t="str">
        <f t="shared" si="4"/>
        <v xml:space="preserve"> wurde 1811 in Frankreich durch Courtois entdeckt.</v>
      </c>
      <c r="AN54" t="str">
        <f t="shared" si="20"/>
        <v>053</v>
      </c>
      <c r="AO54" t="s">
        <v>1235</v>
      </c>
      <c r="AP54" s="87" t="str">
        <f t="shared" si="15"/>
        <v>{{Element|Ordnungszahl=53|Symbol=I|Name=Iod|Atommasse=126,90447|EN=2,5|BP=183 °C|MP=114 °C|Dichte=4,94 g/cm³|Ionenradius=220|Ivolt=1008,4|Aradius=133,1</v>
      </c>
      <c r="AQ54" s="87" t="str">
        <f t="shared" si="5"/>
        <v>|Enthalpie=106.8|IVolt2=1845,9|Wert=-1|IVolt3=3184,04|Farbe=schwarzgrau|Flamme=|Elektronenkonfiguration=[Kr] 5s2 4d10 5p5|EK-Wiki=[Kr] 5s&lt;sup&gt;2&lt;/sup&gt; 4d&lt;sup&gt;10&lt;/sup&gt; 5p&lt;sup&gt;5&lt;/sup&gt;|pre=Tellur|next=Xenon|Metall=Nichtmetall|E-Name=Iodine|L-Name=</v>
      </c>
      <c r="AR54" s="87" t="str">
        <f t="shared" si="6"/>
        <v>|Verwendung=|Wortherkunft=Iod (vom altgriechischen Wort ιο-ειδης = veilchenfarbig, wegen der violetten Farbe von Ioddämpfen).|L-Abk. bzw. redirect=#REDIRECT [[Iod]]|radioaktiv=|hoch=Brom|runter=Astat|Bild-Element=|Bild-Verwendung=|www= wurde 1811 in Frankreich durch Courtois entdeckt.|E-Gruppe=|Sonstiges-kurz=|OZ3=053|WL=Sammlung|Text= }}
[[Kategorie:Chemie]][[Kategorie:Chemikalien]]</v>
      </c>
      <c r="AS54" s="104" t="str">
        <f t="shared" si="19"/>
        <v>{{Element|Ordnungszahl=53|Symbol=I|Name=Iod|Atommasse=126,90447|EN=2,5|BP=183 °C|MP=114 °C|Dichte=4,94 g/cm³|Ionenradius=220|Ivolt=1008,4|Aradius=133,1|Enthalpie=106.8|IVolt2=1845,9|Wert=-1|IVolt3=3184,04|Farbe=schwarzgrau|Flamme=|Elektronenkonfiguration=[Kr] 5s2 4d10 5p5|EK-Wiki=[Kr] 5s&lt;sup&gt;2&lt;/sup&gt; 4d&lt;sup&gt;10&lt;/sup&gt; 5p&lt;sup&gt;5&lt;/sup&gt;|pre=Tellur|next=Xenon|Metall=Nichtmetall|E-Name=Iodine|L-Name=|Verwendung=|Wortherkunft=Iod (vom altgriechischen Wort ιο-ειδης = veilchenfarbig, wegen der violetten Farbe von Ioddämpfen).|L-Abk. bzw. redirect=#REDIRECT [[Iod]]|radioaktiv=|hoch=Brom|runter=Astat|Bild-Element=|Bild-Verwendung=|www= wurde 1811 in Frankreich durch Courtois entdeckt.|E-Gruppe=|Sonstiges-kurz=|OZ3=053|WL=Sammlung|Text= }}
[[Kategorie:Chemie]][[Kategorie:Chemikalien]]</v>
      </c>
      <c r="AT54" t="str">
        <f t="shared" si="16"/>
        <v xml:space="preserve"> wurde 1811 in Frankreich durch Courtois entdeckt. http://www.webelements.com/webelements/elements/media/element-pics/I.jpg</v>
      </c>
    </row>
    <row r="55" spans="1:46" ht="248.4">
      <c r="A55">
        <v>54</v>
      </c>
      <c r="B55" t="s">
        <v>124</v>
      </c>
      <c r="C55" t="s">
        <v>125</v>
      </c>
      <c r="D55">
        <v>131.29300000000001</v>
      </c>
      <c r="E55">
        <v>0</v>
      </c>
      <c r="F55" t="s">
        <v>626</v>
      </c>
      <c r="G55" t="s">
        <v>627</v>
      </c>
      <c r="H55" t="s">
        <v>987</v>
      </c>
      <c r="I55">
        <v>1898</v>
      </c>
      <c r="J55" t="s">
        <v>225</v>
      </c>
      <c r="K55" t="s">
        <v>1067</v>
      </c>
      <c r="L55">
        <v>190</v>
      </c>
      <c r="M55">
        <v>218</v>
      </c>
      <c r="N55" s="103">
        <v>1170.3599999999999</v>
      </c>
      <c r="P55">
        <v>0</v>
      </c>
      <c r="Q55" s="103">
        <v>2046.45</v>
      </c>
      <c r="R55" t="s">
        <v>1068</v>
      </c>
      <c r="S55" s="103">
        <v>3099.42</v>
      </c>
      <c r="T55" t="s">
        <v>1069</v>
      </c>
      <c r="V55" t="s">
        <v>838</v>
      </c>
      <c r="W55" t="s">
        <v>935</v>
      </c>
      <c r="X55" t="str">
        <f t="shared" si="8"/>
        <v>Iod</v>
      </c>
      <c r="Y55" t="str">
        <f t="shared" si="3"/>
        <v>Caesium</v>
      </c>
      <c r="Z55" t="s">
        <v>990</v>
      </c>
      <c r="AA55" s="72" t="s">
        <v>125</v>
      </c>
      <c r="AB55" s="108"/>
      <c r="AC55" s="72"/>
      <c r="AD55" s="87" t="s">
        <v>258</v>
      </c>
      <c r="AE55" s="87" t="str">
        <f t="shared" si="9"/>
        <v>#REDIRECT [[Xenon]]</v>
      </c>
      <c r="AG55" t="str">
        <f>C37</f>
        <v>Krypton</v>
      </c>
      <c r="AH55" t="str">
        <f t="shared" si="18"/>
        <v>Radon</v>
      </c>
      <c r="AK55" t="str">
        <f t="shared" si="4"/>
        <v xml:space="preserve"> wurde 1898 in England durch Ramsay, Travers entdeckt.</v>
      </c>
      <c r="AN55" t="str">
        <f t="shared" si="20"/>
        <v>054</v>
      </c>
      <c r="AO55" t="s">
        <v>1236</v>
      </c>
      <c r="AP55" s="87" t="str">
        <f t="shared" si="15"/>
        <v>{{Element|Ordnungszahl=54|Symbol=Xe|Name=Xenon|Atommasse=131,293|EN=0|BP=-108 °C|MP=-112 °C|Dichte=5,89 g/L|Ionenradius=190|Ivolt=1170,36|Aradius=218</v>
      </c>
      <c r="AQ55" s="87" t="str">
        <f t="shared" si="5"/>
        <v>|Enthalpie=0|IVolt2=2046,45|Wert=-|IVolt3=3099,42|Farbe=farblos|Flamme=|Elektronenkonfiguration=[Kr] 5s2 4d10 5p6|EK-Wiki=[Kr] 5s&lt;sup&gt;2&lt;/sup&gt; 4d&lt;sup&gt;10&lt;/sup&gt; 5p&lt;sup&gt;6&lt;/sup&gt;|pre=Iod|next=Caesium|Metall=Nichtmetall|E-Name=Xenon|L-Name=</v>
      </c>
      <c r="AR55" s="87" t="str">
        <f t="shared" si="6"/>
        <v>|Verwendung=|Wortherkunft=Xenon (griechisch xenos = fremd) wurde erstmalig aus Rohkrypton abgetrennt.|L-Abk. bzw. redirect=#REDIRECT [[Xenon]]|radioaktiv=|hoch=Krypton|runter=Radon|Bild-Element=|Bild-Verwendung=|www= wurde 1898 in England durch Ramsay, Travers entdeckt.|E-Gruppe=|Sonstiges-kurz=|OZ3=054|WL=nichda|Text= }}
[[Kategorie:Chemie]][[Kategorie:Chemikalien]]</v>
      </c>
      <c r="AS55" s="104" t="str">
        <f t="shared" si="19"/>
        <v>{{Element|Ordnungszahl=54|Symbol=Xe|Name=Xenon|Atommasse=131,293|EN=0|BP=-108 °C|MP=-112 °C|Dichte=5,89 g/L|Ionenradius=190|Ivolt=1170,36|Aradius=218|Enthalpie=0|IVolt2=2046,45|Wert=-|IVolt3=3099,42|Farbe=farblos|Flamme=|Elektronenkonfiguration=[Kr] 5s2 4d10 5p6|EK-Wiki=[Kr] 5s&lt;sup&gt;2&lt;/sup&gt; 4d&lt;sup&gt;10&lt;/sup&gt; 5p&lt;sup&gt;6&lt;/sup&gt;|pre=Iod|next=Caesium|Metall=Nichtmetall|E-Name=Xenon|L-Name=|Verwendung=|Wortherkunft=Xenon (griechisch xenos = fremd) wurde erstmalig aus Rohkrypton abgetrennt.|L-Abk. bzw. redirect=#REDIRECT [[Xenon]]|radioaktiv=|hoch=Krypton|runter=Radon|Bild-Element=|Bild-Verwendung=|www= wurde 1898 in England durch Ramsay, Travers entdeckt.|E-Gruppe=|Sonstiges-kurz=|OZ3=054|WL=nichda|Text= }}
[[Kategorie:Chemie]][[Kategorie:Chemikalien]]</v>
      </c>
      <c r="AT55" t="str">
        <f t="shared" si="16"/>
        <v xml:space="preserve"> wurde 1898 in England durch Ramsay, Travers entdeckt. http://www.webelements.com/webelements/elements/media/element-pics/Xe.jpg</v>
      </c>
    </row>
    <row r="56" spans="1:46" ht="262.2">
      <c r="A56">
        <v>55</v>
      </c>
      <c r="B56" t="s">
        <v>126</v>
      </c>
      <c r="C56" t="s">
        <v>767</v>
      </c>
      <c r="D56">
        <v>132.90545</v>
      </c>
      <c r="E56">
        <v>0.7</v>
      </c>
      <c r="F56" t="s">
        <v>628</v>
      </c>
      <c r="G56" t="s">
        <v>629</v>
      </c>
      <c r="H56" t="s">
        <v>736</v>
      </c>
      <c r="I56">
        <v>1860</v>
      </c>
      <c r="J56" t="s">
        <v>226</v>
      </c>
      <c r="K56" t="s">
        <v>1120</v>
      </c>
      <c r="L56">
        <v>165</v>
      </c>
      <c r="M56">
        <v>265.5</v>
      </c>
      <c r="N56" s="103">
        <v>375.71</v>
      </c>
      <c r="P56" t="s">
        <v>127</v>
      </c>
      <c r="Q56" s="103">
        <v>2234.37</v>
      </c>
      <c r="R56">
        <v>1</v>
      </c>
      <c r="S56" s="103" t="s">
        <v>1068</v>
      </c>
      <c r="T56" t="s">
        <v>1229</v>
      </c>
      <c r="U56" t="s">
        <v>128</v>
      </c>
      <c r="V56" t="s">
        <v>807</v>
      </c>
      <c r="W56" t="s">
        <v>877</v>
      </c>
      <c r="X56" t="str">
        <f t="shared" si="8"/>
        <v>Xenon</v>
      </c>
      <c r="Y56" t="str">
        <f t="shared" si="3"/>
        <v>Barium</v>
      </c>
      <c r="Z56" t="s">
        <v>989</v>
      </c>
      <c r="AA56" s="72" t="s">
        <v>767</v>
      </c>
      <c r="AB56" s="108"/>
      <c r="AC56" s="72"/>
      <c r="AD56" s="87" t="s">
        <v>259</v>
      </c>
      <c r="AE56" s="87" t="str">
        <f t="shared" si="9"/>
        <v>#REDIRECT [[Caesium]]</v>
      </c>
      <c r="AG56" t="s">
        <v>70</v>
      </c>
      <c r="AH56" t="str">
        <f t="shared" si="18"/>
        <v>Francium</v>
      </c>
      <c r="AK56" t="str">
        <f t="shared" si="4"/>
        <v xml:space="preserve"> wurde 1860 in Deutschland durch Bunsen, Kirchhoff entdeckt.</v>
      </c>
      <c r="AN56" t="str">
        <f t="shared" si="20"/>
        <v>055</v>
      </c>
      <c r="AO56" t="s">
        <v>1236</v>
      </c>
      <c r="AP56" s="87" t="str">
        <f t="shared" si="15"/>
        <v>{{Element|Ordnungszahl=55|Symbol=Cs|Name=Caesium|Atommasse=132,90545|EN=0,7|BP=690 °C|MP=29 °C|Dichte=1,873 g/cm³|Ionenradius=165|Ivolt=375,71|Aradius=265,5</v>
      </c>
      <c r="AQ56" s="87" t="str">
        <f t="shared" si="5"/>
        <v>|Enthalpie=76.1|IVolt2=2234,37|Wert=1|IVolt3=-|Farbe=silbrig-weiß|Flamme=blau|Elektronenkonfiguration=[Xe] 6s1|EK-Wiki=[Xe] 6s&lt;sup&gt;1&lt;/sup&gt;|pre=Xenon|next=Barium|Metall=Metall|E-Name=Caesium|L-Name=</v>
      </c>
      <c r="AR56" s="87" t="str">
        <f t="shared" si="6"/>
        <v>|Verwendung=|Wortherkunft=Der Name ''Cäsium'' ist vom lateinischen ''caesius'' abgeleitet, was ''himmelblau'' bedeutet. Der Name nimmt Bezug auf die typischen Spektrallinien des Cäsiums, welche im blauen Bereich liegen,|L-Abk. bzw. redirect=#REDIRECT [[Caesium]]|radioaktiv=|hoch=Rubidium|runter=Francium|Bild-Element=|Bild-Verwendung=|www= wurde 1860 in Deutschland durch Bunsen, Kirchhoff entdeckt.|E-Gruppe=|Sonstiges-kurz=|OZ3=055|WL=nichda|Text= }}
[[Kategorie:Chemie]][[Kategorie:Chemikalien]]</v>
      </c>
      <c r="AS56" s="104" t="str">
        <f t="shared" si="19"/>
        <v>{{Element|Ordnungszahl=55|Symbol=Cs|Name=Caesium|Atommasse=132,90545|EN=0,7|BP=690 °C|MP=29 °C|Dichte=1,873 g/cm³|Ionenradius=165|Ivolt=375,71|Aradius=265,5|Enthalpie=76.1|IVolt2=2234,37|Wert=1|IVolt3=-|Farbe=silbrig-weiß|Flamme=blau|Elektronenkonfiguration=[Xe] 6s1|EK-Wiki=[Xe] 6s&lt;sup&gt;1&lt;/sup&gt;|pre=Xenon|next=Barium|Metall=Metall|E-Name=Caesium|L-Name=|Verwendung=|Wortherkunft=Der Name ''Cäsium'' ist vom lateinischen ''caesius'' abgeleitet, was ''himmelblau'' bedeutet. Der Name nimmt Bezug auf die typischen Spektrallinien des Cäsiums, welche im blauen Bereich liegen,|L-Abk. bzw. redirect=#REDIRECT [[Caesium]]|radioaktiv=|hoch=Rubidium|runter=Francium|Bild-Element=|Bild-Verwendung=|www= wurde 1860 in Deutschland durch Bunsen, Kirchhoff entdeckt.|E-Gruppe=|Sonstiges-kurz=|OZ3=055|WL=nichda|Text= }}
[[Kategorie:Chemie]][[Kategorie:Chemikalien]]</v>
      </c>
      <c r="AT56" t="str">
        <f t="shared" si="16"/>
        <v xml:space="preserve"> wurde 1860 in Deutschland durch Bunsen, Kirchhoff entdeckt. http://www.webelements.com/webelements/elements/media/element-pics/Cs.jpg</v>
      </c>
    </row>
    <row r="57" spans="1:46" ht="248.4">
      <c r="A57">
        <v>56</v>
      </c>
      <c r="B57" t="s">
        <v>129</v>
      </c>
      <c r="C57" t="s">
        <v>130</v>
      </c>
      <c r="D57">
        <v>137.327</v>
      </c>
      <c r="E57">
        <v>0.9</v>
      </c>
      <c r="F57" t="s">
        <v>630</v>
      </c>
      <c r="G57" t="s">
        <v>631</v>
      </c>
      <c r="H57" t="s">
        <v>486</v>
      </c>
      <c r="I57">
        <v>1808</v>
      </c>
      <c r="J57" t="s">
        <v>200</v>
      </c>
      <c r="K57" t="s">
        <v>1067</v>
      </c>
      <c r="L57">
        <v>143</v>
      </c>
      <c r="M57">
        <v>217.3</v>
      </c>
      <c r="N57" s="103">
        <v>502.86</v>
      </c>
      <c r="P57">
        <v>180</v>
      </c>
      <c r="Q57" s="103">
        <v>965.24</v>
      </c>
      <c r="R57">
        <v>2</v>
      </c>
      <c r="S57" s="103" t="s">
        <v>1068</v>
      </c>
      <c r="T57" t="s">
        <v>1227</v>
      </c>
      <c r="U57" t="s">
        <v>131</v>
      </c>
      <c r="V57" t="s">
        <v>808</v>
      </c>
      <c r="W57" t="s">
        <v>885</v>
      </c>
      <c r="X57" t="str">
        <f t="shared" si="8"/>
        <v>Caesium</v>
      </c>
      <c r="Y57" t="str">
        <f t="shared" si="3"/>
        <v>Lanthan</v>
      </c>
      <c r="Z57" t="s">
        <v>989</v>
      </c>
      <c r="AA57" s="72" t="s">
        <v>130</v>
      </c>
      <c r="AB57" s="108"/>
      <c r="AC57" s="72"/>
      <c r="AD57" s="87" t="s">
        <v>260</v>
      </c>
      <c r="AE57" s="87" t="str">
        <f t="shared" si="9"/>
        <v>#REDIRECT [[Barium]]</v>
      </c>
      <c r="AG57" t="s">
        <v>73</v>
      </c>
      <c r="AH57" t="str">
        <f t="shared" si="18"/>
        <v>Radium</v>
      </c>
      <c r="AK57" t="str">
        <f t="shared" si="4"/>
        <v xml:space="preserve"> wurde 1808 in England durch Davy entdeckt.</v>
      </c>
      <c r="AN57" t="str">
        <f t="shared" si="20"/>
        <v>056</v>
      </c>
      <c r="AO57" t="s">
        <v>1235</v>
      </c>
      <c r="AP57" s="87" t="str">
        <f t="shared" si="15"/>
        <v>{{Element|Ordnungszahl=56|Symbol=Ba|Name=Barium|Atommasse=137,327|EN=0,9|BP=1640 °C|MP=714 °C|Dichte=3,65 g/cm³|Ionenradius=143|Ivolt=502,86|Aradius=217,3</v>
      </c>
      <c r="AQ57" s="87" t="str">
        <f t="shared" si="5"/>
        <v>|Enthalpie=180|IVolt2=965,24|Wert=2|IVolt3=-|Farbe=silbrig|Flamme=gelbgrün|Elektronenkonfiguration=[Xe] 6s2|EK-Wiki=[Xe] 6s&lt;sup&gt;2&lt;/sup&gt;|pre=Caesium|next=Lanthan|Metall=Metall|E-Name=Barium|L-Name=</v>
      </c>
      <c r="AR57" s="87" t="str">
        <f t="shared" si="6"/>
        <v>|Verwendung=|Wortherkunft=Barium nach dem vorher schon bekannten Baryt (von griech. „schwer“, wegen seiner großen Dichte).|L-Abk. bzw. redirect=#REDIRECT [[Barium]]|radioaktiv=|hoch=Strontium|runter=Radium|Bild-Element=|Bild-Verwendung=|www= wurde 1808 in England durch Davy entdeckt.|E-Gruppe=|Sonstiges-kurz=|OZ3=056|WL=Sammlung|Text= }}
[[Kategorie:Chemie]][[Kategorie:Chemikalien]]</v>
      </c>
      <c r="AS57" s="104" t="str">
        <f t="shared" si="19"/>
        <v>{{Element|Ordnungszahl=56|Symbol=Ba|Name=Barium|Atommasse=137,327|EN=0,9|BP=1640 °C|MP=714 °C|Dichte=3,65 g/cm³|Ionenradius=143|Ivolt=502,86|Aradius=217,3|Enthalpie=180|IVolt2=965,24|Wert=2|IVolt3=-|Farbe=silbrig|Flamme=gelbgrün|Elektronenkonfiguration=[Xe] 6s2|EK-Wiki=[Xe] 6s&lt;sup&gt;2&lt;/sup&gt;|pre=Caesium|next=Lanthan|Metall=Metall|E-Name=Barium|L-Name=|Verwendung=|Wortherkunft=Barium nach dem vorher schon bekannten Baryt (von griech. „schwer“, wegen seiner großen Dichte).|L-Abk. bzw. redirect=#REDIRECT [[Barium]]|radioaktiv=|hoch=Strontium|runter=Radium|Bild-Element=|Bild-Verwendung=|www= wurde 1808 in England durch Davy entdeckt.|E-Gruppe=|Sonstiges-kurz=|OZ3=056|WL=Sammlung|Text= }}
[[Kategorie:Chemie]][[Kategorie:Chemikalien]]</v>
      </c>
      <c r="AT57" t="str">
        <f t="shared" si="16"/>
        <v xml:space="preserve"> wurde 1808 in England durch Davy entdeckt. http://www.webelements.com/webelements/elements/media/element-pics/Ba.jpg</v>
      </c>
    </row>
    <row r="58" spans="1:46" ht="234.6">
      <c r="A58">
        <v>57</v>
      </c>
      <c r="B58" t="s">
        <v>308</v>
      </c>
      <c r="C58" t="s">
        <v>309</v>
      </c>
      <c r="D58">
        <v>138.90549999999999</v>
      </c>
      <c r="E58">
        <v>1.1000000000000001</v>
      </c>
      <c r="F58" t="s">
        <v>632</v>
      </c>
      <c r="G58" t="s">
        <v>633</v>
      </c>
      <c r="H58" t="s">
        <v>487</v>
      </c>
      <c r="I58">
        <v>1839</v>
      </c>
      <c r="J58" t="s">
        <v>227</v>
      </c>
      <c r="K58" t="s">
        <v>1076</v>
      </c>
      <c r="L58">
        <v>122</v>
      </c>
      <c r="M58">
        <v>187.7</v>
      </c>
      <c r="N58" s="103">
        <v>538.1</v>
      </c>
      <c r="P58">
        <v>431</v>
      </c>
      <c r="Q58" s="103">
        <v>1067.1400000000001</v>
      </c>
      <c r="R58">
        <v>3</v>
      </c>
      <c r="S58" s="103">
        <v>1850.34</v>
      </c>
      <c r="T58" t="s">
        <v>1229</v>
      </c>
      <c r="V58" t="s">
        <v>839</v>
      </c>
      <c r="W58" t="s">
        <v>902</v>
      </c>
      <c r="X58" t="str">
        <f t="shared" si="8"/>
        <v>Barium</v>
      </c>
      <c r="Y58" t="str">
        <f t="shared" si="3"/>
        <v>Cer</v>
      </c>
      <c r="Z58" t="s">
        <v>989</v>
      </c>
      <c r="AA58" s="72" t="s">
        <v>1029</v>
      </c>
      <c r="AB58" s="108"/>
      <c r="AC58" s="72"/>
      <c r="AD58" s="87" t="s">
        <v>261</v>
      </c>
      <c r="AE58" s="87" t="str">
        <f t="shared" si="9"/>
        <v>#REDIRECT [[Lanthan]]</v>
      </c>
      <c r="AG58" t="str">
        <f>C40</f>
        <v>Yttrium</v>
      </c>
      <c r="AH58" t="str">
        <f t="shared" si="18"/>
        <v>Actinium</v>
      </c>
      <c r="AK58" t="str">
        <f t="shared" si="4"/>
        <v xml:space="preserve"> wurde 1839 in Schweden durch Mosander entdeckt.</v>
      </c>
      <c r="AN58" t="str">
        <f t="shared" si="20"/>
        <v>057</v>
      </c>
      <c r="AO58" t="s">
        <v>1236</v>
      </c>
      <c r="AP58" s="87" t="str">
        <f t="shared" si="15"/>
        <v>{{Element|Ordnungszahl=57|Symbol=La|Name=Lanthan|Atommasse=138,9055|EN=1,1|BP=3470 °C|MP=920 °C|Dichte=6,16 g/cm³|Ionenradius=122|Ivolt=538,1|Aradius=187,7</v>
      </c>
      <c r="AQ58" s="87" t="str">
        <f t="shared" si="5"/>
        <v>|Enthalpie=431|IVolt2=1067,14|Wert=3|IVolt3=1850,34|Farbe=silbrig-weiß|Flamme=|Elektronenkonfiguration=[Xe] 6s2 5d1|EK-Wiki=[Xe] 6s&lt;sup&gt;2&lt;/sup&gt; 5d&lt;sup&gt;1&lt;/sup&gt;|pre=Barium|next=Cer|Metall=Metall|E-Name=Lanthanum|L-Name=</v>
      </c>
      <c r="AR58" s="87" t="str">
        <f t="shared" si="6"/>
        <v>|Verwendung=|Wortherkunft=Lanthan (griechisch ''lanthanein'' = versteckt)|L-Abk. bzw. redirect=#REDIRECT [[Lanthan]]|radioaktiv=|hoch=Yttrium|runter=Actinium|Bild-Element=|Bild-Verwendung=|www= wurde 1839 in Schweden durch Mosander entdeckt.|E-Gruppe=|Sonstiges-kurz=|OZ3=057|WL=nichda|Text= }}
[[Kategorie:Chemie]][[Kategorie:Chemikalien]]</v>
      </c>
      <c r="AS58" s="104" t="str">
        <f t="shared" si="19"/>
        <v>{{Element|Ordnungszahl=57|Symbol=La|Name=Lanthan|Atommasse=138,9055|EN=1,1|BP=3470 °C|MP=920 °C|Dichte=6,16 g/cm³|Ionenradius=122|Ivolt=538,1|Aradius=187,7|Enthalpie=431|IVolt2=1067,14|Wert=3|IVolt3=1850,34|Farbe=silbrig-weiß|Flamme=|Elektronenkonfiguration=[Xe] 6s2 5d1|EK-Wiki=[Xe] 6s&lt;sup&gt;2&lt;/sup&gt; 5d&lt;sup&gt;1&lt;/sup&gt;|pre=Barium|next=Cer|Metall=Metall|E-Name=Lanthanum|L-Name=|Verwendung=|Wortherkunft=Lanthan (griechisch ''lanthanein'' = versteckt)|L-Abk. bzw. redirect=#REDIRECT [[Lanthan]]|radioaktiv=|hoch=Yttrium|runter=Actinium|Bild-Element=|Bild-Verwendung=|www= wurde 1839 in Schweden durch Mosander entdeckt.|E-Gruppe=|Sonstiges-kurz=|OZ3=057|WL=nichda|Text= }}
[[Kategorie:Chemie]][[Kategorie:Chemikalien]]</v>
      </c>
      <c r="AT58" t="str">
        <f t="shared" si="16"/>
        <v xml:space="preserve"> wurde 1839 in Schweden durch Mosander entdeckt. http://www.webelements.com/webelements/elements/media/element-pics/La.jpg</v>
      </c>
    </row>
    <row r="59" spans="1:46" ht="220.8">
      <c r="A59">
        <v>58</v>
      </c>
      <c r="B59" t="s">
        <v>310</v>
      </c>
      <c r="C59" t="s">
        <v>311</v>
      </c>
      <c r="D59">
        <v>140.11600000000001</v>
      </c>
      <c r="E59">
        <v>1.1000000000000001</v>
      </c>
      <c r="F59" t="s">
        <v>632</v>
      </c>
      <c r="G59" t="s">
        <v>634</v>
      </c>
      <c r="H59" t="s">
        <v>488</v>
      </c>
      <c r="I59">
        <v>1803</v>
      </c>
      <c r="J59" t="s">
        <v>180</v>
      </c>
      <c r="K59" t="s">
        <v>1120</v>
      </c>
      <c r="L59">
        <v>94</v>
      </c>
      <c r="M59">
        <v>182.5</v>
      </c>
      <c r="N59" s="103">
        <v>534.41</v>
      </c>
      <c r="P59">
        <v>423</v>
      </c>
      <c r="Q59" s="103">
        <v>1046.8699999999999</v>
      </c>
      <c r="R59">
        <v>7</v>
      </c>
      <c r="S59" s="103">
        <v>1948.82</v>
      </c>
      <c r="T59" t="s">
        <v>32</v>
      </c>
      <c r="V59" t="s">
        <v>821</v>
      </c>
      <c r="W59" t="s">
        <v>958</v>
      </c>
      <c r="X59" t="str">
        <f t="shared" si="8"/>
        <v>Lanthan</v>
      </c>
      <c r="Y59" t="str">
        <f t="shared" si="3"/>
        <v>Praseodym</v>
      </c>
      <c r="Z59" t="s">
        <v>989</v>
      </c>
      <c r="AA59" s="72" t="s">
        <v>1034</v>
      </c>
      <c r="AB59" s="108"/>
      <c r="AC59" s="72"/>
      <c r="AD59" s="87" t="s">
        <v>262</v>
      </c>
      <c r="AE59" s="87" t="str">
        <f t="shared" si="9"/>
        <v>#REDIRECT [[Cer]]</v>
      </c>
      <c r="AG59" t="str">
        <f>C59</f>
        <v>Cer</v>
      </c>
      <c r="AH59" t="str">
        <f t="shared" si="18"/>
        <v>Thorium</v>
      </c>
      <c r="AK59" t="str">
        <f t="shared" si="4"/>
        <v xml:space="preserve"> wurde 1803 in Deutschland durch Klaproth entdeckt.</v>
      </c>
      <c r="AN59" t="str">
        <f t="shared" si="20"/>
        <v>058</v>
      </c>
      <c r="AO59" t="s">
        <v>1236</v>
      </c>
      <c r="AP59" s="87" t="str">
        <f t="shared" si="15"/>
        <v>{{Element|Ordnungszahl=58|Symbol=Ce|Name=Cer|Atommasse=140,116|EN=1,1|BP=3470 °C|MP=795 °C|Dichte=6,77 g/cm³|Ionenradius=94|Ivolt=534,41|Aradius=182,5</v>
      </c>
      <c r="AQ59" s="87" t="str">
        <f t="shared" si="5"/>
        <v>|Enthalpie=423|IVolt2=1046,87|Wert=7|IVolt3=1948,82|Farbe=grau|Flamme=|Elektronenkonfiguration=[Xe] 6s2 4f2|EK-Wiki=[Xe] 6s&lt;sup&gt;2&lt;/sup&gt; 4f&lt;sup&gt;2&lt;/sup&gt;|pre=Lanthan|next=Praseodym|Metall=Metall|E-Name=Cerium|L-Name=</v>
      </c>
      <c r="AR59" s="87" t="str">
        <f t="shared" si="6"/>
        <v>|Verwendung=|Wortherkunft=Cer wurde nach dem Planetoiden Ceres benannt.|L-Abk. bzw. redirect=#REDIRECT [[Cer]]|radioaktiv=|hoch=Cer|runter=Thorium|Bild-Element=|Bild-Verwendung=|www= wurde 1803 in Deutschland durch Klaproth entdeckt.|E-Gruppe=|Sonstiges-kurz=|OZ3=058|WL=nichda|Text= }}
[[Kategorie:Chemie]][[Kategorie:Chemikalien]]</v>
      </c>
      <c r="AS59" s="104" t="str">
        <f t="shared" si="19"/>
        <v>{{Element|Ordnungszahl=58|Symbol=Ce|Name=Cer|Atommasse=140,116|EN=1,1|BP=3470 °C|MP=795 °C|Dichte=6,77 g/cm³|Ionenradius=94|Ivolt=534,41|Aradius=182,5|Enthalpie=423|IVolt2=1046,87|Wert=7|IVolt3=1948,82|Farbe=grau|Flamme=|Elektronenkonfiguration=[Xe] 6s2 4f2|EK-Wiki=[Xe] 6s&lt;sup&gt;2&lt;/sup&gt; 4f&lt;sup&gt;2&lt;/sup&gt;|pre=Lanthan|next=Praseodym|Metall=Metall|E-Name=Cerium|L-Name=|Verwendung=|Wortherkunft=Cer wurde nach dem Planetoiden Ceres benannt.|L-Abk. bzw. redirect=#REDIRECT [[Cer]]|radioaktiv=|hoch=Cer|runter=Thorium|Bild-Element=|Bild-Verwendung=|www= wurde 1803 in Deutschland durch Klaproth entdeckt.|E-Gruppe=|Sonstiges-kurz=|OZ3=058|WL=nichda|Text= }}
[[Kategorie:Chemie]][[Kategorie:Chemikalien]]</v>
      </c>
      <c r="AT59" t="str">
        <f t="shared" si="16"/>
        <v xml:space="preserve"> wurde 1803 in Deutschland durch Klaproth entdeckt. http://www.webelements.com/webelements/elements/media/element-pics/Ce.jpg</v>
      </c>
    </row>
    <row r="60" spans="1:46" ht="303.60000000000002">
      <c r="A60">
        <v>59</v>
      </c>
      <c r="B60" t="s">
        <v>312</v>
      </c>
      <c r="C60" t="s">
        <v>313</v>
      </c>
      <c r="D60">
        <v>140.90764999999999</v>
      </c>
      <c r="E60">
        <v>1.1000000000000001</v>
      </c>
      <c r="F60" t="s">
        <v>635</v>
      </c>
      <c r="G60" t="s">
        <v>636</v>
      </c>
      <c r="H60" t="s">
        <v>489</v>
      </c>
      <c r="I60">
        <v>1885</v>
      </c>
      <c r="J60" t="s">
        <v>228</v>
      </c>
      <c r="K60" t="s">
        <v>314</v>
      </c>
      <c r="L60">
        <v>92</v>
      </c>
      <c r="M60">
        <v>182.8</v>
      </c>
      <c r="N60" s="103">
        <v>527.20000000000005</v>
      </c>
      <c r="P60" t="s">
        <v>315</v>
      </c>
      <c r="Q60" s="103">
        <v>1017.93</v>
      </c>
      <c r="R60">
        <v>7</v>
      </c>
      <c r="S60" s="103">
        <v>2086.41</v>
      </c>
      <c r="T60" t="s">
        <v>1224</v>
      </c>
      <c r="V60" t="s">
        <v>822</v>
      </c>
      <c r="W60" t="s">
        <v>886</v>
      </c>
      <c r="X60" t="str">
        <f t="shared" si="8"/>
        <v>Cer</v>
      </c>
      <c r="Y60" t="str">
        <f t="shared" si="3"/>
        <v>Neodym</v>
      </c>
      <c r="Z60" t="s">
        <v>989</v>
      </c>
      <c r="AA60" s="72" t="s">
        <v>1020</v>
      </c>
      <c r="AB60" s="108"/>
      <c r="AC60" s="72"/>
      <c r="AD60" s="87" t="s">
        <v>302</v>
      </c>
      <c r="AE60" s="87" t="str">
        <f t="shared" si="9"/>
        <v>#REDIRECT [[Praseodym]]</v>
      </c>
      <c r="AG60" t="str">
        <f t="shared" ref="AG60:AG72" si="21">C60</f>
        <v>Praseodym</v>
      </c>
      <c r="AH60" t="str">
        <f t="shared" si="18"/>
        <v>Protactinium</v>
      </c>
      <c r="AK60" t="str">
        <f t="shared" si="4"/>
        <v xml:space="preserve"> wurde 1885 in Österreich durch von Welsbach entdeckt.</v>
      </c>
      <c r="AN60" t="str">
        <f t="shared" si="20"/>
        <v>059</v>
      </c>
      <c r="AO60" t="s">
        <v>1236</v>
      </c>
      <c r="AP60" s="87" t="str">
        <f t="shared" si="15"/>
        <v>{{Element|Ordnungszahl=59|Symbol=Pr|Name=Praseodym|Atommasse=140,90765|EN=1,1|BP=3130 °C|MP=935 °C|Dichte=6,48 g/cm³|Ionenradius=92|Ivolt=527,2|Aradius=182,8</v>
      </c>
      <c r="AQ60" s="87" t="str">
        <f t="shared" si="5"/>
        <v>|Enthalpie=355.6|IVolt2=1017,93|Wert=7|IVolt3=2086,41|Farbe=silbrig weiß|Flamme=|Elektronenkonfiguration=[Xe] 6s2 4f3|EK-Wiki=[Xe] 6s&lt;sup&gt;2&lt;/sup&gt; 4f3|pre=Cer|next=Neodym|Metall=Metall|E-Name=Praseodymium|L-Name=</v>
      </c>
      <c r="AR60" s="87" t="str">
        <f t="shared" si="6"/>
        <v>|Verwendung=|Wortherkunft=Das griechische Wort prásinos bedeutet lauchgrün, didymos doppelt oder Zwilling. Im Jahr 1879 isolierte Paul Lecoq de Boisbaudran Samarium aus Didym, das er aus dem Mineral Samarskit gewann. 1885 gelang es, Didym in Praseodym und Neodym zu trennen, die beide Salze mit verschiedenen Farben bilden.|L-Abk. bzw. redirect=#REDIRECT [[Praseodym]]|radioaktiv=|hoch=Praseodym|runter=Protactinium|Bild-Element=|Bild-Verwendung=|www= wurde 1885 in Österreich durch von Welsbach entdeckt.|E-Gruppe=|Sonstiges-kurz=|OZ3=059|WL=nichda|Text= }}
[[Kategorie:Chemie]][[Kategorie:Chemikalien]]</v>
      </c>
      <c r="AS60" s="104" t="str">
        <f t="shared" si="19"/>
        <v>{{Element|Ordnungszahl=59|Symbol=Pr|Name=Praseodym|Atommasse=140,90765|EN=1,1|BP=3130 °C|MP=935 °C|Dichte=6,48 g/cm³|Ionenradius=92|Ivolt=527,2|Aradius=182,8|Enthalpie=355.6|IVolt2=1017,93|Wert=7|IVolt3=2086,41|Farbe=silbrig weiß|Flamme=|Elektronenkonfiguration=[Xe] 6s2 4f3|EK-Wiki=[Xe] 6s&lt;sup&gt;2&lt;/sup&gt; 4f3|pre=Cer|next=Neodym|Metall=Metall|E-Name=Praseodymium|L-Name=|Verwendung=|Wortherkunft=Das griechische Wort prásinos bedeutet lauchgrün, didymos doppelt oder Zwilling. Im Jahr 1879 isolierte Paul Lecoq de Boisbaudran Samarium aus Didym, das er aus dem Mineral Samarskit gewann. 1885 gelang es, Didym in Praseodym und Neodym zu trennen, die beide Salze mit verschiedenen Farben bilden.|L-Abk. bzw. redirect=#REDIRECT [[Praseodym]]|radioaktiv=|hoch=Praseodym|runter=Protactinium|Bild-Element=|Bild-Verwendung=|www= wurde 1885 in Österreich durch von Welsbach entdeckt.|E-Gruppe=|Sonstiges-kurz=|OZ3=059|WL=nichda|Text= }}
[[Kategorie:Chemie]][[Kategorie:Chemikalien]]</v>
      </c>
      <c r="AT60" t="str">
        <f t="shared" si="16"/>
        <v xml:space="preserve"> wurde 1885 in Österreich durch von Welsbach entdeckt. http://www.webelements.com/webelements/elements/media/element-pics/Pr.jpg</v>
      </c>
    </row>
    <row r="61" spans="1:46" ht="276">
      <c r="A61">
        <v>60</v>
      </c>
      <c r="B61" t="s">
        <v>316</v>
      </c>
      <c r="C61" t="s">
        <v>317</v>
      </c>
      <c r="D61">
        <v>144.24</v>
      </c>
      <c r="E61">
        <v>1.2</v>
      </c>
      <c r="F61" t="s">
        <v>637</v>
      </c>
      <c r="G61" t="s">
        <v>638</v>
      </c>
      <c r="H61" t="s">
        <v>490</v>
      </c>
      <c r="I61">
        <v>1885</v>
      </c>
      <c r="J61" t="s">
        <v>228</v>
      </c>
      <c r="K61" t="s">
        <v>314</v>
      </c>
      <c r="L61">
        <v>104</v>
      </c>
      <c r="M61">
        <v>182.1</v>
      </c>
      <c r="N61" s="103">
        <v>533.09</v>
      </c>
      <c r="P61" t="s">
        <v>318</v>
      </c>
      <c r="Q61" s="103">
        <v>1035.3</v>
      </c>
      <c r="R61">
        <v>3</v>
      </c>
      <c r="S61" s="103">
        <v>2132.34</v>
      </c>
      <c r="T61" t="s">
        <v>1227</v>
      </c>
      <c r="V61" t="s">
        <v>823</v>
      </c>
      <c r="W61" t="s">
        <v>960</v>
      </c>
      <c r="X61" t="str">
        <f t="shared" si="8"/>
        <v>Praseodym</v>
      </c>
      <c r="Y61" t="str">
        <f t="shared" si="3"/>
        <v>Promethium</v>
      </c>
      <c r="Z61" t="s">
        <v>989</v>
      </c>
      <c r="AA61" s="72" t="s">
        <v>1043</v>
      </c>
      <c r="AB61" s="108"/>
      <c r="AC61" s="72"/>
      <c r="AD61" s="87" t="s">
        <v>303</v>
      </c>
      <c r="AE61" s="87" t="str">
        <f t="shared" si="9"/>
        <v>#REDIRECT [[Neodym]]</v>
      </c>
      <c r="AG61" t="str">
        <f t="shared" si="21"/>
        <v>Neodym</v>
      </c>
      <c r="AH61" t="str">
        <f t="shared" si="18"/>
        <v>Uran</v>
      </c>
      <c r="AK61" t="str">
        <f t="shared" si="4"/>
        <v xml:space="preserve"> wurde 1885 in Österreich durch von Welsbach entdeckt.</v>
      </c>
      <c r="AN61" t="str">
        <f t="shared" si="20"/>
        <v>060</v>
      </c>
      <c r="AO61" t="s">
        <v>1236</v>
      </c>
      <c r="AP61" s="87" t="str">
        <f t="shared" si="15"/>
        <v>{{Element|Ordnungszahl=60|Symbol=Nd|Name=Neodym|Atommasse=144,24|EN=1,2|BP=3030 °C|MP=1020 °C|Dichte=7,00 g/cm³|Ionenradius=104|Ivolt=533,09|Aradius=182,1</v>
      </c>
      <c r="AQ61" s="87" t="str">
        <f t="shared" si="5"/>
        <v>|Enthalpie=327.6|IVolt2=1035,3|Wert=3|IVolt3=2132,34|Farbe=silbrig|Flamme=|Elektronenkonfiguration=[Xe] 6s2 4f4 |EK-Wiki=[Xe] 6s&lt;sup&gt;2&lt;/sup&gt; 4f&lt;sup&gt;4&lt;/sup&gt; |pre=Praseodym|next=Promethium|Metall=Metall|E-Name=Neodymium|L-Name=</v>
      </c>
      <c r="AR61" s="87" t="str">
        <f t="shared" si="6"/>
        <v>|Verwendung=|Wortherkunft=Neodym wurde zusammen mit Praseodym aus dem Didym isoliert. Die Elementbezeichnung leitet sich von den griechischen Worten ''neos'' für neu und ''didymos'' für Zwilling ab.|L-Abk. bzw. redirect=#REDIRECT [[Neodym]]|radioaktiv=|hoch=Neodym|runter=Uran|Bild-Element=|Bild-Verwendung=|www= wurde 1885 in Österreich durch von Welsbach entdeckt.|E-Gruppe=|Sonstiges-kurz=|OZ3=060|WL=nichda|Text= }}
[[Kategorie:Chemie]][[Kategorie:Chemikalien]]</v>
      </c>
      <c r="AS61" s="104" t="str">
        <f t="shared" si="19"/>
        <v>{{Element|Ordnungszahl=60|Symbol=Nd|Name=Neodym|Atommasse=144,24|EN=1,2|BP=3030 °C|MP=1020 °C|Dichte=7,00 g/cm³|Ionenradius=104|Ivolt=533,09|Aradius=182,1|Enthalpie=327.6|IVolt2=1035,3|Wert=3|IVolt3=2132,34|Farbe=silbrig|Flamme=|Elektronenkonfiguration=[Xe] 6s2 4f4 |EK-Wiki=[Xe] 6s&lt;sup&gt;2&lt;/sup&gt; 4f&lt;sup&gt;4&lt;/sup&gt; |pre=Praseodym|next=Promethium|Metall=Metall|E-Name=Neodymium|L-Name=|Verwendung=|Wortherkunft=Neodym wurde zusammen mit Praseodym aus dem Didym isoliert. Die Elementbezeichnung leitet sich von den griechischen Worten ''neos'' für neu und ''didymos'' für Zwilling ab.|L-Abk. bzw. redirect=#REDIRECT [[Neodym]]|radioaktiv=|hoch=Neodym|runter=Uran|Bild-Element=|Bild-Verwendung=|www= wurde 1885 in Österreich durch von Welsbach entdeckt.|E-Gruppe=|Sonstiges-kurz=|OZ3=060|WL=nichda|Text= }}
[[Kategorie:Chemie]][[Kategorie:Chemikalien]]</v>
      </c>
      <c r="AT61" t="str">
        <f t="shared" si="16"/>
        <v xml:space="preserve"> wurde 1885 in Österreich durch von Welsbach entdeckt. http://www.webelements.com/webelements/elements/media/element-pics/Nd.jpg</v>
      </c>
    </row>
    <row r="62" spans="1:46" ht="331.2">
      <c r="A62">
        <v>61</v>
      </c>
      <c r="B62" t="s">
        <v>319</v>
      </c>
      <c r="C62" t="s">
        <v>320</v>
      </c>
      <c r="D62">
        <v>145</v>
      </c>
      <c r="E62">
        <v>1.1000000000000001</v>
      </c>
      <c r="F62" t="s">
        <v>567</v>
      </c>
      <c r="G62" t="s">
        <v>639</v>
      </c>
      <c r="H62" t="s">
        <v>491</v>
      </c>
      <c r="I62">
        <v>1945</v>
      </c>
      <c r="J62" t="s">
        <v>172</v>
      </c>
      <c r="K62" t="s">
        <v>321</v>
      </c>
      <c r="L62">
        <v>106</v>
      </c>
      <c r="M62">
        <v>181</v>
      </c>
      <c r="N62" s="103">
        <v>538.39</v>
      </c>
      <c r="P62">
        <v>0</v>
      </c>
      <c r="Q62" s="103">
        <v>1051.7</v>
      </c>
      <c r="R62">
        <v>3</v>
      </c>
      <c r="S62" s="103">
        <v>2151.64</v>
      </c>
      <c r="T62" t="s">
        <v>1231</v>
      </c>
      <c r="V62" t="s">
        <v>824</v>
      </c>
      <c r="W62" t="s">
        <v>962</v>
      </c>
      <c r="X62" t="str">
        <f t="shared" si="8"/>
        <v>Neodym</v>
      </c>
      <c r="Y62" t="str">
        <f t="shared" si="3"/>
        <v>Samarium</v>
      </c>
      <c r="Z62" t="s">
        <v>989</v>
      </c>
      <c r="AA62" s="72" t="s">
        <v>320</v>
      </c>
      <c r="AB62" s="108"/>
      <c r="AC62" s="72"/>
      <c r="AD62" s="87" t="s">
        <v>304</v>
      </c>
      <c r="AE62" s="87" t="str">
        <f t="shared" si="9"/>
        <v>#REDIRECT [[Promethium]]</v>
      </c>
      <c r="AF62" s="46" t="s">
        <v>167</v>
      </c>
      <c r="AG62" t="str">
        <f t="shared" si="21"/>
        <v>Promethium</v>
      </c>
      <c r="AH62" t="str">
        <f t="shared" si="18"/>
        <v>Neptunium</v>
      </c>
      <c r="AK62" t="str">
        <f t="shared" si="4"/>
        <v xml:space="preserve"> wurde 1945 in USA durch Marinsky, Coryell entdeckt.</v>
      </c>
      <c r="AN62" t="str">
        <f t="shared" si="20"/>
        <v>061</v>
      </c>
      <c r="AO62" t="s">
        <v>1236</v>
      </c>
      <c r="AP62" s="87" t="str">
        <f t="shared" si="15"/>
        <v>{{Element|Ordnungszahl=61|Symbol=Pm|Name=Promethium|Atommasse=145|EN=1,1|BP=2730 °C|MP=1030 °C|Dichte=7,22 g/cm³|Ionenradius=106|Ivolt=538,39|Aradius=181</v>
      </c>
      <c r="AQ62" s="87" t="str">
        <f t="shared" si="5"/>
        <v>|Enthalpie=0|IVolt2=1051,7|Wert=3|IVolt3=2151,64|Farbe=silbrigweiß|Flamme=|Elektronenkonfiguration=[Xe] 6s2 4f5|EK-Wiki=[Xe] 6s&lt;sup&gt;2&lt;/sup&gt; 4f&lt;sup&gt;5&lt;/sup&gt;|pre=Neodym|next=Samarium|Metall=Metall|E-Name=Promethium|L-Name=</v>
      </c>
      <c r="AR62" s="87" t="str">
        <f t="shared" si="6"/>
        <v>|Verwendung=|Wortherkunft=Promethium wurde 1945 als Spaltprodukt des Urans entdeckt. Den Namen '''Promethium''' wählte man in Anlehnung an den griechischen Titanen Prometheus, der den Menschen das Feuer brachte und so den Zorn der Götter erweckte. Dies war als Mahnung an die Menschheit gedacht, die zu diesem Zeitpunkt mit dem nukleares Wettrüsten|nuklearen Wettrüsten begann.|L-Abk. bzw. redirect=#REDIRECT [[Promethium]]|radioaktiv=[[radioaktiv]]es&amp;nbsp;|hoch=Promethium|runter=Neptunium|Bild-Element=|Bild-Verwendung=|www= wurde 1945 in USA durch Marinsky, Coryell entdeckt.|E-Gruppe=|Sonstiges-kurz=|OZ3=061|WL=nichda|Text= }}
[[Kategorie:Chemie]][[Kategorie:Chemikalien]]</v>
      </c>
      <c r="AS62" s="104" t="str">
        <f t="shared" si="19"/>
        <v>{{Element|Ordnungszahl=61|Symbol=Pm|Name=Promethium|Atommasse=145|EN=1,1|BP=2730 °C|MP=1030 °C|Dichte=7,22 g/cm³|Ionenradius=106|Ivolt=538,39|Aradius=181|Enthalpie=0|IVolt2=1051,7|Wert=3|IVolt3=2151,64|Farbe=silbrigweiß|Flamme=|Elektronenkonfiguration=[Xe] 6s2 4f5|EK-Wiki=[Xe] 6s&lt;sup&gt;2&lt;/sup&gt; 4f&lt;sup&gt;5&lt;/sup&gt;|pre=Neodym|next=Samarium|Metall=Metall|E-Name=Promethium|L-Name=|Verwendung=|Wortherkunft=Promethium wurde 1945 als Spaltprodukt des Urans entdeckt. Den Namen '''Promethium''' wählte man in Anlehnung an den griechischen Titanen Prometheus, der den Menschen das Feuer brachte und so den Zorn der Götter erweckte. Dies war als Mahnung an die Menschheit gedacht, die zu diesem Zeitpunkt mit dem nukleares Wettrüsten|nuklearen Wettrüsten begann.|L-Abk. bzw. redirect=#REDIRECT [[Promethium]]|radioaktiv=[[radioaktiv]]es&amp;nbsp;|hoch=Promethium|runter=Neptunium|Bild-Element=|Bild-Verwendung=|www= wurde 1945 in USA durch Marinsky, Coryell entdeckt.|E-Gruppe=|Sonstiges-kurz=|OZ3=061|WL=nichda|Text= }}
[[Kategorie:Chemie]][[Kategorie:Chemikalien]]</v>
      </c>
      <c r="AT62" t="str">
        <f t="shared" si="16"/>
        <v xml:space="preserve"> wurde 1945 in USA durch Marinsky, Coryell entdeckt. http://www.webelements.com/webelements/elements/media/element-pics/Pm.jpg</v>
      </c>
    </row>
    <row r="63" spans="1:46" ht="262.2">
      <c r="A63">
        <v>62</v>
      </c>
      <c r="B63" t="s">
        <v>322</v>
      </c>
      <c r="C63" t="s">
        <v>323</v>
      </c>
      <c r="D63">
        <v>150.36000000000001</v>
      </c>
      <c r="E63">
        <v>1.2</v>
      </c>
      <c r="F63" t="s">
        <v>572</v>
      </c>
      <c r="G63" t="s">
        <v>640</v>
      </c>
      <c r="H63" t="s">
        <v>492</v>
      </c>
      <c r="I63">
        <v>1879</v>
      </c>
      <c r="J63" t="s">
        <v>210</v>
      </c>
      <c r="K63" t="s">
        <v>1080</v>
      </c>
      <c r="L63">
        <v>100</v>
      </c>
      <c r="M63">
        <v>180.2</v>
      </c>
      <c r="N63" s="103">
        <v>544.53</v>
      </c>
      <c r="P63" t="s">
        <v>324</v>
      </c>
      <c r="Q63" s="103">
        <v>1068.0999999999999</v>
      </c>
      <c r="R63">
        <v>5</v>
      </c>
      <c r="S63" s="103">
        <v>2257.77</v>
      </c>
      <c r="T63" t="s">
        <v>1227</v>
      </c>
      <c r="V63" t="s">
        <v>825</v>
      </c>
      <c r="W63" t="s">
        <v>963</v>
      </c>
      <c r="X63" t="str">
        <f t="shared" si="8"/>
        <v>Promethium</v>
      </c>
      <c r="Y63" t="str">
        <f t="shared" si="3"/>
        <v>Europium</v>
      </c>
      <c r="Z63" t="s">
        <v>989</v>
      </c>
      <c r="AA63" s="72" t="s">
        <v>323</v>
      </c>
      <c r="AB63" s="108"/>
      <c r="AC63" s="72"/>
      <c r="AD63" s="87" t="s">
        <v>305</v>
      </c>
      <c r="AE63" s="87" t="str">
        <f t="shared" si="9"/>
        <v>#REDIRECT [[Samarium]]</v>
      </c>
      <c r="AG63" t="str">
        <f t="shared" si="21"/>
        <v>Samarium</v>
      </c>
      <c r="AH63" t="str">
        <f t="shared" si="18"/>
        <v>Plutonium</v>
      </c>
      <c r="AK63" t="str">
        <f t="shared" si="4"/>
        <v xml:space="preserve"> wurde 1879 in Frankreich durch de Boisbaudran entdeckt.</v>
      </c>
      <c r="AN63" t="str">
        <f t="shared" si="20"/>
        <v>062</v>
      </c>
      <c r="AO63" t="s">
        <v>1236</v>
      </c>
      <c r="AP63" s="87" t="str">
        <f t="shared" si="15"/>
        <v>{{Element|Ordnungszahl=62|Symbol=Sm|Name=Samarium|Atommasse=150,36|EN=1,2|BP=1900 °C|MP=1070 °C|Dichte=7,54 g/cm³|Ionenradius=100|Ivolt=544,53|Aradius=180,2</v>
      </c>
      <c r="AQ63" s="87" t="str">
        <f t="shared" si="5"/>
        <v>|Enthalpie=206.7|IVolt2=1068,1|Wert=5|IVolt3=2257,77|Farbe=silbrig|Flamme=|Elektronenkonfiguration=[Xe] 6s2 4f6|EK-Wiki=[Xe] 6s&lt;sup&gt;2&lt;/sup&gt; 4f&lt;sup&gt;6&lt;/sup&gt;|pre=Promethium|next=Europium|Metall=Metall|E-Name=Samarium|L-Name=</v>
      </c>
      <c r="AR63" s="87" t="str">
        <f t="shared" si="6"/>
        <v>|Verwendung=|Wortherkunft=Samarium nach dem Mineral Samarskit. Mineral- und Elementbezeichnung leiten sich ab von dem Russen Samarsky, der das Mineral entdeckte.|L-Abk. bzw. redirect=#REDIRECT [[Samarium]]|radioaktiv=|hoch=Samarium|runter=Plutonium|Bild-Element=|Bild-Verwendung=|www= wurde 1879 in Frankreich durch de Boisbaudran entdeckt.|E-Gruppe=|Sonstiges-kurz=|OZ3=062|WL=nichda|Text= }}
[[Kategorie:Chemie]][[Kategorie:Chemikalien]]</v>
      </c>
      <c r="AS63" s="104" t="str">
        <f t="shared" si="19"/>
        <v>{{Element|Ordnungszahl=62|Symbol=Sm|Name=Samarium|Atommasse=150,36|EN=1,2|BP=1900 °C|MP=1070 °C|Dichte=7,54 g/cm³|Ionenradius=100|Ivolt=544,53|Aradius=180,2|Enthalpie=206.7|IVolt2=1068,1|Wert=5|IVolt3=2257,77|Farbe=silbrig|Flamme=|Elektronenkonfiguration=[Xe] 6s2 4f6|EK-Wiki=[Xe] 6s&lt;sup&gt;2&lt;/sup&gt; 4f&lt;sup&gt;6&lt;/sup&gt;|pre=Promethium|next=Europium|Metall=Metall|E-Name=Samarium|L-Name=|Verwendung=|Wortherkunft=Samarium nach dem Mineral Samarskit. Mineral- und Elementbezeichnung leiten sich ab von dem Russen Samarsky, der das Mineral entdeckte.|L-Abk. bzw. redirect=#REDIRECT [[Samarium]]|radioaktiv=|hoch=Samarium|runter=Plutonium|Bild-Element=|Bild-Verwendung=|www= wurde 1879 in Frankreich durch de Boisbaudran entdeckt.|E-Gruppe=|Sonstiges-kurz=|OZ3=062|WL=nichda|Text= }}
[[Kategorie:Chemie]][[Kategorie:Chemikalien]]</v>
      </c>
      <c r="AT63" t="str">
        <f t="shared" si="16"/>
        <v xml:space="preserve"> wurde 1879 in Frankreich durch de Boisbaudran entdeckt. http://www.webelements.com/webelements/elements/media/element-pics/Sm.jpg</v>
      </c>
    </row>
    <row r="64" spans="1:46" ht="248.4">
      <c r="A64">
        <v>63</v>
      </c>
      <c r="B64" t="s">
        <v>325</v>
      </c>
      <c r="C64" t="s">
        <v>326</v>
      </c>
      <c r="D64">
        <v>151.964</v>
      </c>
      <c r="E64">
        <v>1.2</v>
      </c>
      <c r="F64" t="s">
        <v>641</v>
      </c>
      <c r="G64" t="s">
        <v>642</v>
      </c>
      <c r="H64" t="s">
        <v>493</v>
      </c>
      <c r="I64">
        <v>1896</v>
      </c>
      <c r="J64" t="s">
        <v>229</v>
      </c>
      <c r="K64" t="s">
        <v>1080</v>
      </c>
      <c r="L64">
        <v>98</v>
      </c>
      <c r="M64">
        <v>204.2</v>
      </c>
      <c r="N64" s="103">
        <v>547.11</v>
      </c>
      <c r="P64" t="s">
        <v>327</v>
      </c>
      <c r="Q64" s="103">
        <v>1084.5999999999999</v>
      </c>
      <c r="R64">
        <v>5</v>
      </c>
      <c r="S64" s="103">
        <v>2404.4299999999998</v>
      </c>
      <c r="T64" t="s">
        <v>1227</v>
      </c>
      <c r="V64" t="s">
        <v>826</v>
      </c>
      <c r="W64" t="s">
        <v>965</v>
      </c>
      <c r="X64" t="str">
        <f t="shared" si="8"/>
        <v>Samarium</v>
      </c>
      <c r="Y64" t="str">
        <f t="shared" si="3"/>
        <v>Gadolinium</v>
      </c>
      <c r="Z64" t="s">
        <v>989</v>
      </c>
      <c r="AA64" s="72" t="s">
        <v>326</v>
      </c>
      <c r="AB64" s="108"/>
      <c r="AC64" s="72"/>
      <c r="AD64" s="87" t="s">
        <v>306</v>
      </c>
      <c r="AE64" s="87" t="str">
        <f t="shared" si="9"/>
        <v>#REDIRECT [[Europium]]</v>
      </c>
      <c r="AG64" t="str">
        <f t="shared" si="21"/>
        <v>Europium</v>
      </c>
      <c r="AH64" t="str">
        <f t="shared" si="18"/>
        <v>Americium</v>
      </c>
      <c r="AK64" t="str">
        <f t="shared" si="4"/>
        <v xml:space="preserve"> wurde 1896 in Frankreich durch Demarcay entdeckt.</v>
      </c>
      <c r="AN64" t="str">
        <f t="shared" si="20"/>
        <v>063</v>
      </c>
      <c r="AO64" t="s">
        <v>1236</v>
      </c>
      <c r="AP64" s="87" t="str">
        <f t="shared" si="15"/>
        <v>{{Element|Ordnungszahl=63|Symbol=Eu|Name=Europium|Atommasse=151,964|EN=1,2|BP=1440 °C|MP=826 °C|Dichte=5,25 g/cm³|Ionenradius=98|Ivolt=547,11|Aradius=204,2</v>
      </c>
      <c r="AQ64" s="87" t="str">
        <f t="shared" si="5"/>
        <v>|Enthalpie=175.3|IVolt2=1084,6|Wert=5|IVolt3=2404,43|Farbe=silbrig|Flamme=|Elektronenkonfiguration=[Xe] 6s2 4f7|EK-Wiki=[Xe] 6s&lt;sup&gt;2&lt;/sup&gt; 4f&lt;sup&gt;7&lt;/sup&gt;|pre=Samarium|next=Gadolinium|Metall=Metall|E-Name=Europium|L-Name=</v>
      </c>
      <c r="AR64" s="87" t="str">
        <f t="shared" si="6"/>
        <v>|Verwendung=|Wortherkunft=Die Elementbezeichnung steht für den Kontinent Europa.|L-Abk. bzw. redirect=#REDIRECT [[Europium]]|radioaktiv=|hoch=Europium|runter=Americium|Bild-Element=|Bild-Verwendung=|www= wurde 1896 in Frankreich durch Demarcay entdeckt.|E-Gruppe=|Sonstiges-kurz=|OZ3=063|WL=nichda|Text= }}
[[Kategorie:Chemie]][[Kategorie:Chemikalien]]</v>
      </c>
      <c r="AS64" s="104" t="str">
        <f t="shared" si="19"/>
        <v>{{Element|Ordnungszahl=63|Symbol=Eu|Name=Europium|Atommasse=151,964|EN=1,2|BP=1440 °C|MP=826 °C|Dichte=5,25 g/cm³|Ionenradius=98|Ivolt=547,11|Aradius=204,2|Enthalpie=175.3|IVolt2=1084,6|Wert=5|IVolt3=2404,43|Farbe=silbrig|Flamme=|Elektronenkonfiguration=[Xe] 6s2 4f7|EK-Wiki=[Xe] 6s&lt;sup&gt;2&lt;/sup&gt; 4f&lt;sup&gt;7&lt;/sup&gt;|pre=Samarium|next=Gadolinium|Metall=Metall|E-Name=Europium|L-Name=|Verwendung=|Wortherkunft=Die Elementbezeichnung steht für den Kontinent Europa.|L-Abk. bzw. redirect=#REDIRECT [[Europium]]|radioaktiv=|hoch=Europium|runter=Americium|Bild-Element=|Bild-Verwendung=|www= wurde 1896 in Frankreich durch Demarcay entdeckt.|E-Gruppe=|Sonstiges-kurz=|OZ3=063|WL=nichda|Text= }}
[[Kategorie:Chemie]][[Kategorie:Chemikalien]]</v>
      </c>
      <c r="AT64" t="str">
        <f t="shared" si="16"/>
        <v xml:space="preserve"> wurde 1896 in Frankreich durch Demarcay entdeckt. http://www.webelements.com/webelements/elements/media/element-pics/Eu.jpg</v>
      </c>
    </row>
    <row r="65" spans="1:46" ht="248.4">
      <c r="A65">
        <v>64</v>
      </c>
      <c r="B65" t="s">
        <v>328</v>
      </c>
      <c r="C65" t="s">
        <v>329</v>
      </c>
      <c r="D65">
        <v>157.25</v>
      </c>
      <c r="E65">
        <v>1.2</v>
      </c>
      <c r="F65" t="s">
        <v>576</v>
      </c>
      <c r="G65" t="s">
        <v>643</v>
      </c>
      <c r="H65" t="s">
        <v>494</v>
      </c>
      <c r="I65">
        <v>1880</v>
      </c>
      <c r="J65" t="s">
        <v>216</v>
      </c>
      <c r="K65" t="s">
        <v>330</v>
      </c>
      <c r="L65">
        <v>97</v>
      </c>
      <c r="M65">
        <v>180.2</v>
      </c>
      <c r="N65" s="103">
        <v>593.4</v>
      </c>
      <c r="P65" t="s">
        <v>331</v>
      </c>
      <c r="Q65" s="103">
        <v>1166.52</v>
      </c>
      <c r="R65">
        <v>3</v>
      </c>
      <c r="S65" s="103">
        <v>1990.51</v>
      </c>
      <c r="T65" t="s">
        <v>1229</v>
      </c>
      <c r="V65" t="s">
        <v>840</v>
      </c>
      <c r="W65" t="s">
        <v>966</v>
      </c>
      <c r="X65" t="str">
        <f t="shared" si="8"/>
        <v>Europium</v>
      </c>
      <c r="Y65" t="str">
        <f t="shared" si="3"/>
        <v>Terbium</v>
      </c>
      <c r="Z65" t="s">
        <v>989</v>
      </c>
      <c r="AA65" s="72" t="s">
        <v>329</v>
      </c>
      <c r="AB65" s="108"/>
      <c r="AC65" s="72"/>
      <c r="AD65" s="87" t="s">
        <v>307</v>
      </c>
      <c r="AE65" s="87" t="str">
        <f t="shared" si="9"/>
        <v>#REDIRECT [[Gadolinium]]</v>
      </c>
      <c r="AG65" t="str">
        <f t="shared" si="21"/>
        <v>Gadolinium</v>
      </c>
      <c r="AH65" t="str">
        <f t="shared" si="18"/>
        <v>Curium</v>
      </c>
      <c r="AK65" t="str">
        <f t="shared" si="4"/>
        <v xml:space="preserve"> wurde 1880 in Schweiz durch Marignac entdeckt.</v>
      </c>
      <c r="AN65" t="str">
        <f t="shared" si="20"/>
        <v>064</v>
      </c>
      <c r="AO65" t="s">
        <v>1236</v>
      </c>
      <c r="AP65" s="87" t="str">
        <f t="shared" si="15"/>
        <v>{{Element|Ordnungszahl=64|Symbol=Gd|Name=Gadolinium|Atommasse=157,25|EN=1,2|BP=3000 °C|MP=1310 °C|Dichte=7,89 g/cm³|Ionenradius=97|Ivolt=593,4|Aradius=180,2</v>
      </c>
      <c r="AQ65" s="87" t="str">
        <f t="shared" si="5"/>
        <v>|Enthalpie=397.5|IVolt2=1166,52|Wert=3|IVolt3=1990,51|Farbe=silbrig-weiß|Flamme=|Elektronenkonfiguration=[Xe] 6s2 4f7 5d1|EK-Wiki=[Xe] 6s&lt;sup&gt;2&lt;/sup&gt; 4f&lt;sup&gt;7&lt;/sup&gt; 5d&lt;sup&gt;1&lt;/sup&gt;|pre=Europium|next=Terbium|Metall=Metall|E-Name=Gadolinium|L-Name=</v>
      </c>
      <c r="AR65" s="87" t="str">
        <f t="shared" si="6"/>
        <v>|Verwendung=|Wortherkunft=Nach dem Entdecker des Minerals Gadolinit, dem finnischen Chemiker Johan Gadolin, Gadolinium.|L-Abk. bzw. redirect=#REDIRECT [[Gadolinium]]|radioaktiv=|hoch=Gadolinium|runter=Curium|Bild-Element=|Bild-Verwendung=|www= wurde 1880 in Schweiz durch Marignac entdeckt.|E-Gruppe=|Sonstiges-kurz=|OZ3=064|WL=nichda|Text= }}
[[Kategorie:Chemie]][[Kategorie:Chemikalien]]</v>
      </c>
      <c r="AS65" s="104" t="str">
        <f t="shared" si="19"/>
        <v>{{Element|Ordnungszahl=64|Symbol=Gd|Name=Gadolinium|Atommasse=157,25|EN=1,2|BP=3000 °C|MP=1310 °C|Dichte=7,89 g/cm³|Ionenradius=97|Ivolt=593,4|Aradius=180,2|Enthalpie=397.5|IVolt2=1166,52|Wert=3|IVolt3=1990,51|Farbe=silbrig-weiß|Flamme=|Elektronenkonfiguration=[Xe] 6s2 4f7 5d1|EK-Wiki=[Xe] 6s&lt;sup&gt;2&lt;/sup&gt; 4f&lt;sup&gt;7&lt;/sup&gt; 5d&lt;sup&gt;1&lt;/sup&gt;|pre=Europium|next=Terbium|Metall=Metall|E-Name=Gadolinium|L-Name=|Verwendung=|Wortherkunft=Nach dem Entdecker des Minerals Gadolinit, dem finnischen Chemiker Johan Gadolin, Gadolinium.|L-Abk. bzw. redirect=#REDIRECT [[Gadolinium]]|radioaktiv=|hoch=Gadolinium|runter=Curium|Bild-Element=|Bild-Verwendung=|www= wurde 1880 in Schweiz durch Marignac entdeckt.|E-Gruppe=|Sonstiges-kurz=|OZ3=064|WL=nichda|Text= }}
[[Kategorie:Chemie]][[Kategorie:Chemikalien]]</v>
      </c>
      <c r="AT65" t="str">
        <f t="shared" si="16"/>
        <v xml:space="preserve"> wurde 1880 in Schweiz durch Marignac entdeckt. http://www.webelements.com/webelements/elements/media/element-pics/Gd.jpg</v>
      </c>
    </row>
    <row r="66" spans="1:46" ht="345">
      <c r="A66">
        <v>65</v>
      </c>
      <c r="B66" t="s">
        <v>332</v>
      </c>
      <c r="C66" t="s">
        <v>333</v>
      </c>
      <c r="D66">
        <v>158.92534000000001</v>
      </c>
      <c r="E66">
        <v>1.2</v>
      </c>
      <c r="F66" t="s">
        <v>644</v>
      </c>
      <c r="G66" t="s">
        <v>645</v>
      </c>
      <c r="H66" t="s">
        <v>495</v>
      </c>
      <c r="I66">
        <v>1843</v>
      </c>
      <c r="J66" t="s">
        <v>227</v>
      </c>
      <c r="K66" t="s">
        <v>1076</v>
      </c>
      <c r="L66">
        <v>81</v>
      </c>
      <c r="M66">
        <v>178.2</v>
      </c>
      <c r="N66" s="103">
        <v>565.77</v>
      </c>
      <c r="P66" t="s">
        <v>334</v>
      </c>
      <c r="Q66" s="103">
        <v>1111.52</v>
      </c>
      <c r="R66">
        <v>7</v>
      </c>
      <c r="S66" s="103">
        <v>2114.0100000000002</v>
      </c>
      <c r="T66" t="s">
        <v>1227</v>
      </c>
      <c r="V66" t="s">
        <v>827</v>
      </c>
      <c r="W66" t="s">
        <v>969</v>
      </c>
      <c r="X66" t="str">
        <f t="shared" si="8"/>
        <v>Gadolinium</v>
      </c>
      <c r="Y66" t="str">
        <f t="shared" si="3"/>
        <v>Dysprosium</v>
      </c>
      <c r="Z66" t="s">
        <v>989</v>
      </c>
      <c r="AA66" s="72" t="s">
        <v>333</v>
      </c>
      <c r="AB66" s="108"/>
      <c r="AC66" s="72"/>
      <c r="AD66" s="87" t="s">
        <v>1</v>
      </c>
      <c r="AE66" s="87" t="str">
        <f t="shared" si="9"/>
        <v>#REDIRECT [[Terbium]]</v>
      </c>
      <c r="AG66" t="str">
        <f t="shared" si="21"/>
        <v>Terbium</v>
      </c>
      <c r="AH66" t="str">
        <f t="shared" si="18"/>
        <v>Berkelium</v>
      </c>
      <c r="AK66" t="str">
        <f t="shared" si="4"/>
        <v xml:space="preserve"> wurde 1843 in Schweden durch Mosander entdeckt.</v>
      </c>
      <c r="AN66" t="str">
        <f t="shared" si="20"/>
        <v>065</v>
      </c>
      <c r="AO66" t="s">
        <v>1236</v>
      </c>
      <c r="AP66" s="87" t="str">
        <f t="shared" ref="AP66:AP97" si="22">CONCATENATE("{{Element|Ordnungszahl=",A66,"|Symbol=",B66,"|Name=",C66,"|Atommasse=",D66,"|EN=",E66,"|BP=",F66,"|MP=",G66,"|Dichte=",H66,"|Ionenradius=",L66,"|Ivolt=",N66,"|Aradius=",M66)</f>
        <v>{{Element|Ordnungszahl=65|Symbol=Tb|Name=Terbium|Atommasse=158,92534|EN=1,2|BP=2800 °C|MP=1360 °C|Dichte=8,25 g/cm³|Ionenradius=81|Ivolt=565,77|Aradius=178,2</v>
      </c>
      <c r="AQ66" s="87" t="str">
        <f t="shared" si="5"/>
        <v>|Enthalpie=388.7|IVolt2=1111,52|Wert=7|IVolt3=2114,01|Farbe=silbrig|Flamme=|Elektronenkonfiguration=[Xe] 6s2 4f9|EK-Wiki=[Xe] 6s&lt;sup&gt;2&lt;/sup&gt; 4f&lt;sup&gt;9&lt;/sup&gt;|pre=Gadolinium|next=Dysprosium|Metall=Metall|E-Name=Terbium|L-Name=</v>
      </c>
      <c r="AR66" s="87" t="str">
        <f t="shared" si="6"/>
        <v>|Verwendung=|Wortherkunft=Die Entdeckung des Elementes Terbium ist sehr verworren und bis heute nicht geklärt. Allgemein sieht man Carl Gustav Mosander als Entdecker an, der Anfang der 1840er die von Johan Gadolin entdeckte ''Yttererde'' untersuchte. Die vermeintlich reine Terbium-Verbindung war aber eine Mischung mehrerer Lanthanide (Bunsen). Reines Terbium wurde erst mit Aufkommen der Ionenaustauschtechnik nach 1945 hergestellt. Aus dem Namen der schwedischen Grube Ytterby leitete Mosander die Elementbezeichnung ab.|L-Abk. bzw. redirect=#REDIRECT [[Terbium]]|radioaktiv=|hoch=Terbium|runter=Berkelium|Bild-Element=|Bild-Verwendung=|www= wurde 1843 in Schweden durch Mosander entdeckt.|E-Gruppe=|Sonstiges-kurz=|OZ3=065|WL=nichda|Text= }}
[[Kategorie:Chemie]][[Kategorie:Chemikalien]]</v>
      </c>
      <c r="AS66" s="104" t="str">
        <f t="shared" si="19"/>
        <v>{{Element|Ordnungszahl=65|Symbol=Tb|Name=Terbium|Atommasse=158,92534|EN=1,2|BP=2800 °C|MP=1360 °C|Dichte=8,25 g/cm³|Ionenradius=81|Ivolt=565,77|Aradius=178,2|Enthalpie=388.7|IVolt2=1111,52|Wert=7|IVolt3=2114,01|Farbe=silbrig|Flamme=|Elektronenkonfiguration=[Xe] 6s2 4f9|EK-Wiki=[Xe] 6s&lt;sup&gt;2&lt;/sup&gt; 4f&lt;sup&gt;9&lt;/sup&gt;|pre=Gadolinium|next=Dysprosium|Metall=Metall|E-Name=Terbium|L-Name=|Verwendung=|Wortherkunft=Die Entdeckung des Elementes Terbium ist sehr verworren und bis heute nicht geklärt. Allgemein sieht man Carl Gustav Mosander als Entdecker an, der Anfang der 1840er die von Johan Gadolin entdeckte ''Yttererde'' untersuchte. Die vermeintlich reine Terbium-Verbindung war aber eine Mischung mehrerer Lanthanide (Bunsen). Reines Terbium wurde erst mit Aufkommen der Ionenaustauschtechnik nach 1945 hergestellt. Aus dem Namen der schwedischen Grube Ytterby leitete Mosander die Elementbezeichnung ab.|L-Abk. bzw. redirect=#REDIRECT [[Terbium]]|radioaktiv=|hoch=Terbium|runter=Berkelium|Bild-Element=|Bild-Verwendung=|www= wurde 1843 in Schweden durch Mosander entdeckt.|E-Gruppe=|Sonstiges-kurz=|OZ3=065|WL=nichda|Text= }}
[[Kategorie:Chemie]][[Kategorie:Chemikalien]]</v>
      </c>
      <c r="AT66" t="str">
        <f t="shared" ref="AT66:AT97" si="23">CONCATENATE(AK66," http://www.webelements.com/webelements/elements/media/element-pics/",B66,".jpg")</f>
        <v xml:space="preserve"> wurde 1843 in Schweden durch Mosander entdeckt. http://www.webelements.com/webelements/elements/media/element-pics/Tb.jpg</v>
      </c>
    </row>
    <row r="67" spans="1:46" ht="248.4">
      <c r="A67">
        <v>66</v>
      </c>
      <c r="B67" t="s">
        <v>335</v>
      </c>
      <c r="C67" t="s">
        <v>336</v>
      </c>
      <c r="D67">
        <v>162.5</v>
      </c>
      <c r="E67">
        <v>1.2</v>
      </c>
      <c r="F67" t="s">
        <v>579</v>
      </c>
      <c r="G67" t="s">
        <v>554</v>
      </c>
      <c r="H67" t="s">
        <v>496</v>
      </c>
      <c r="I67">
        <v>1886</v>
      </c>
      <c r="J67" t="s">
        <v>210</v>
      </c>
      <c r="K67" t="s">
        <v>1080</v>
      </c>
      <c r="L67">
        <v>91</v>
      </c>
      <c r="M67">
        <v>177.3</v>
      </c>
      <c r="N67" s="103">
        <v>573.02</v>
      </c>
      <c r="P67" t="s">
        <v>337</v>
      </c>
      <c r="Q67" s="103">
        <v>1125.99</v>
      </c>
      <c r="R67">
        <v>3</v>
      </c>
      <c r="S67" s="103">
        <v>2199.88</v>
      </c>
      <c r="T67" t="s">
        <v>1232</v>
      </c>
      <c r="V67" t="s">
        <v>828</v>
      </c>
      <c r="W67" t="s">
        <v>936</v>
      </c>
      <c r="X67" t="str">
        <f t="shared" si="8"/>
        <v>Terbium</v>
      </c>
      <c r="Y67" t="str">
        <f t="shared" ref="Y67:Y107" si="24">C68</f>
        <v>Holmium</v>
      </c>
      <c r="Z67" t="s">
        <v>989</v>
      </c>
      <c r="AA67" s="72" t="s">
        <v>336</v>
      </c>
      <c r="AB67" s="108"/>
      <c r="AC67" s="72"/>
      <c r="AD67" s="87" t="s">
        <v>1209</v>
      </c>
      <c r="AE67" s="87" t="str">
        <f t="shared" ref="AE67:AE79" si="25">CONCATENATE("#REDIRECT [[",C67,"]]")</f>
        <v>#REDIRECT [[Dysprosium]]</v>
      </c>
      <c r="AG67" t="str">
        <f t="shared" si="21"/>
        <v>Dysprosium</v>
      </c>
      <c r="AH67" t="str">
        <f t="shared" si="18"/>
        <v>Californium</v>
      </c>
      <c r="AK67" t="str">
        <f t="shared" ref="AK67:AK118" si="26">CONCATENATE(" wurde ",I67," in ",K67," durch ",J67," entdeckt.")</f>
        <v xml:space="preserve"> wurde 1886 in Frankreich durch de Boisbaudran entdeckt.</v>
      </c>
      <c r="AN67" t="str">
        <f t="shared" si="20"/>
        <v>066</v>
      </c>
      <c r="AO67" t="s">
        <v>1236</v>
      </c>
      <c r="AP67" s="87" t="str">
        <f t="shared" si="22"/>
        <v>{{Element|Ordnungszahl=66|Symbol=Dy|Name=Dysprosium|Atommasse=162,5|EN=1,2|BP=2600 °C|MP=1410 °C|Dichte=8,56 g/cm³|Ionenradius=91|Ivolt=573,02|Aradius=177,3</v>
      </c>
      <c r="AQ67" s="87" t="str">
        <f t="shared" ref="AQ67:AQ118" si="27">CONCATENATE("|Enthalpie=",P67,"|IVolt2=",Q67,"|Wert=",R67,"|IVolt3=",S67,"|Farbe=",T67,"|Flamme=",U67,"|Elektronenkonfiguration=",V67,"|EK-Wiki=",W67,"|pre=",X67,"|next=",Y67,"|Metall=",Z67,"|E-Name=",AA67,"|L-Name=",AB67)</f>
        <v>|Enthalpie=290.4|IVolt2=1125,99|Wert=3|IVolt3=2199,88|Farbe=silbriggrau|Flamme=|Elektronenkonfiguration=[Xe] 6s2 4f10|EK-Wiki=[Xe] 6s&lt;sup&gt;2&lt;/sup&gt; 4f&lt;sup&gt;10&lt;/sup&gt;|pre=Terbium|next=Holmium|Metall=Metall|E-Name=Dysprosium|L-Name=</v>
      </c>
      <c r="AR67" s="87" t="str">
        <f t="shared" ref="AR67:AR117" si="28">CONCATENATE("|Verwendung=",AC67,"|Wortherkunft=",AD67,"|L-Abk. bzw. redirect=",AE67,"|radioaktiv=",AF67,"|hoch=",AG67,"|runter=",AH67,"|Bild-Element=",AI67,"|Bild-Verwendung=",AJ67,"|www=",AK67,"|E-Gruppe=",AL67,"|Sonstiges-kurz=",AM67,"|OZ3=",AN67,"|WL=",AO67,"|Text= }}
[[Kategorie:Chemie]][[Kategorie:Chemikalien]]")</f>
        <v>|Verwendung=|Wortherkunft=Dysprosium (von griech. dysprósitos = unzugänglich)|L-Abk. bzw. redirect=#REDIRECT [[Dysprosium]]|radioaktiv=|hoch=Dysprosium|runter=Californium|Bild-Element=|Bild-Verwendung=|www= wurde 1886 in Frankreich durch de Boisbaudran entdeckt.|E-Gruppe=|Sonstiges-kurz=|OZ3=066|WL=nichda|Text= }}
[[Kategorie:Chemie]][[Kategorie:Chemikalien]]</v>
      </c>
      <c r="AS67" s="104" t="str">
        <f t="shared" si="19"/>
        <v>{{Element|Ordnungszahl=66|Symbol=Dy|Name=Dysprosium|Atommasse=162,5|EN=1,2|BP=2600 °C|MP=1410 °C|Dichte=8,56 g/cm³|Ionenradius=91|Ivolt=573,02|Aradius=177,3|Enthalpie=290.4|IVolt2=1125,99|Wert=3|IVolt3=2199,88|Farbe=silbriggrau|Flamme=|Elektronenkonfiguration=[Xe] 6s2 4f10|EK-Wiki=[Xe] 6s&lt;sup&gt;2&lt;/sup&gt; 4f&lt;sup&gt;10&lt;/sup&gt;|pre=Terbium|next=Holmium|Metall=Metall|E-Name=Dysprosium|L-Name=|Verwendung=|Wortherkunft=Dysprosium (von griech. dysprósitos = unzugänglich)|L-Abk. bzw. redirect=#REDIRECT [[Dysprosium]]|radioaktiv=|hoch=Dysprosium|runter=Californium|Bild-Element=|Bild-Verwendung=|www= wurde 1886 in Frankreich durch de Boisbaudran entdeckt.|E-Gruppe=|Sonstiges-kurz=|OZ3=066|WL=nichda|Text= }}
[[Kategorie:Chemie]][[Kategorie:Chemikalien]]</v>
      </c>
      <c r="AT67" t="str">
        <f t="shared" si="23"/>
        <v xml:space="preserve"> wurde 1886 in Frankreich durch de Boisbaudran entdeckt. http://www.webelements.com/webelements/elements/media/element-pics/Dy.jpg</v>
      </c>
    </row>
    <row r="68" spans="1:46" ht="303.60000000000002">
      <c r="A68">
        <v>67</v>
      </c>
      <c r="B68" t="s">
        <v>338</v>
      </c>
      <c r="C68" t="s">
        <v>339</v>
      </c>
      <c r="D68">
        <v>164.93031999999999</v>
      </c>
      <c r="E68">
        <v>1.2</v>
      </c>
      <c r="F68" t="s">
        <v>579</v>
      </c>
      <c r="G68" t="s">
        <v>646</v>
      </c>
      <c r="H68" t="s">
        <v>497</v>
      </c>
      <c r="I68">
        <v>1879</v>
      </c>
      <c r="J68" t="s">
        <v>230</v>
      </c>
      <c r="K68" t="s">
        <v>330</v>
      </c>
      <c r="L68">
        <v>89</v>
      </c>
      <c r="M68">
        <v>176.6</v>
      </c>
      <c r="N68" s="103">
        <v>580.99</v>
      </c>
      <c r="P68" t="s">
        <v>340</v>
      </c>
      <c r="Q68" s="103">
        <v>1138.54</v>
      </c>
      <c r="R68">
        <v>3</v>
      </c>
      <c r="S68" s="103">
        <v>2203.7399999999998</v>
      </c>
      <c r="T68" t="s">
        <v>1227</v>
      </c>
      <c r="V68" t="s">
        <v>829</v>
      </c>
      <c r="W68" t="s">
        <v>938</v>
      </c>
      <c r="X68" t="str">
        <f t="shared" ref="X68:X99" si="29">C67</f>
        <v>Dysprosium</v>
      </c>
      <c r="Y68" t="str">
        <f t="shared" si="24"/>
        <v>Erbium</v>
      </c>
      <c r="Z68" t="s">
        <v>989</v>
      </c>
      <c r="AA68" s="72" t="s">
        <v>339</v>
      </c>
      <c r="AB68" s="108"/>
      <c r="AC68" s="72"/>
      <c r="AD68" s="87" t="s">
        <v>1240</v>
      </c>
      <c r="AE68" s="87" t="str">
        <f t="shared" si="25"/>
        <v>#REDIRECT [[Holmium]]</v>
      </c>
      <c r="AG68" t="str">
        <f t="shared" si="21"/>
        <v>Holmium</v>
      </c>
      <c r="AH68" t="str">
        <f t="shared" si="18"/>
        <v>Einsteinium</v>
      </c>
      <c r="AK68" t="str">
        <f t="shared" si="26"/>
        <v xml:space="preserve"> wurde 1879 in Schweiz durch Cleve entdeckt.</v>
      </c>
      <c r="AN68" t="str">
        <f t="shared" si="20"/>
        <v>067</v>
      </c>
      <c r="AO68" t="s">
        <v>1236</v>
      </c>
      <c r="AP68" s="87" t="str">
        <f t="shared" si="22"/>
        <v>{{Element|Ordnungszahl=67|Symbol=Ho|Name=Holmium|Atommasse=164,93032|EN=1,2|BP=2600 °C|MP=1460 °C|Dichte=8,78 g/cm³|Ionenradius=89|Ivolt=580,99|Aradius=176,6</v>
      </c>
      <c r="AQ68" s="87" t="str">
        <f t="shared" si="27"/>
        <v>|Enthalpie=300.8|IVolt2=1138,54|Wert=3|IVolt3=2203,74|Farbe=silbrig|Flamme=|Elektronenkonfiguration=[Xe] 6s2 4f11|EK-Wiki=[Xe] 6s&lt;sup&gt;2&lt;/sup&gt; 4f&lt;sup&gt;1&lt;/sup&gt;1|pre=Dysprosium|next=Erbium|Metall=Metall|E-Name=Holmium|L-Name=</v>
      </c>
      <c r="AR68" s="87" t="str">
        <f t="shared" si="28"/>
        <v>|Verwendung=|Wortherkunft=Erst 1911 gelang dem schwedischen Chemiker Holmberg die Gewinnung von reinem Holmiumoxid. Ob er die Bezeichnung Holmium, vorgeschlagen von Cleve für die schwedische Landeshauptstadt Stockholm, übernahm oder als Ableitung seines eigenen Namens betrachtete, ist nicht bekannt.|L-Abk. bzw. redirect=#REDIRECT [[Holmium]]|radioaktiv=|hoch=Holmium|runter=Einsteinium|Bild-Element=|Bild-Verwendung=|www= wurde 1879 in Schweiz durch Cleve entdeckt.|E-Gruppe=|Sonstiges-kurz=|OZ3=067|WL=nichda|Text= }}
[[Kategorie:Chemie]][[Kategorie:Chemikalien]]</v>
      </c>
      <c r="AS68" s="104" t="str">
        <f t="shared" si="19"/>
        <v>{{Element|Ordnungszahl=67|Symbol=Ho|Name=Holmium|Atommasse=164,93032|EN=1,2|BP=2600 °C|MP=1460 °C|Dichte=8,78 g/cm³|Ionenradius=89|Ivolt=580,99|Aradius=176,6|Enthalpie=300.8|IVolt2=1138,54|Wert=3|IVolt3=2203,74|Farbe=silbrig|Flamme=|Elektronenkonfiguration=[Xe] 6s2 4f11|EK-Wiki=[Xe] 6s&lt;sup&gt;2&lt;/sup&gt; 4f&lt;sup&gt;1&lt;/sup&gt;1|pre=Dysprosium|next=Erbium|Metall=Metall|E-Name=Holmium|L-Name=|Verwendung=|Wortherkunft=Erst 1911 gelang dem schwedischen Chemiker Holmberg die Gewinnung von reinem Holmiumoxid. Ob er die Bezeichnung Holmium, vorgeschlagen von Cleve für die schwedische Landeshauptstadt Stockholm, übernahm oder als Ableitung seines eigenen Namens betrachtete, ist nicht bekannt.|L-Abk. bzw. redirect=#REDIRECT [[Holmium]]|radioaktiv=|hoch=Holmium|runter=Einsteinium|Bild-Element=|Bild-Verwendung=|www= wurde 1879 in Schweiz durch Cleve entdeckt.|E-Gruppe=|Sonstiges-kurz=|OZ3=067|WL=nichda|Text= }}
[[Kategorie:Chemie]][[Kategorie:Chemikalien]]</v>
      </c>
      <c r="AT68" t="str">
        <f t="shared" si="23"/>
        <v xml:space="preserve"> wurde 1879 in Schweiz durch Cleve entdeckt. http://www.webelements.com/webelements/elements/media/element-pics/Ho.jpg</v>
      </c>
    </row>
    <row r="69" spans="1:46" ht="276">
      <c r="A69">
        <v>68</v>
      </c>
      <c r="B69" t="s">
        <v>341</v>
      </c>
      <c r="C69" t="s">
        <v>342</v>
      </c>
      <c r="D69">
        <v>167.25899999999999</v>
      </c>
      <c r="E69">
        <v>1.2</v>
      </c>
      <c r="F69" t="s">
        <v>577</v>
      </c>
      <c r="G69" t="s">
        <v>600</v>
      </c>
      <c r="H69" t="s">
        <v>498</v>
      </c>
      <c r="I69">
        <v>1843</v>
      </c>
      <c r="J69" t="s">
        <v>227</v>
      </c>
      <c r="K69" t="s">
        <v>1076</v>
      </c>
      <c r="L69">
        <v>89</v>
      </c>
      <c r="M69">
        <v>175.7</v>
      </c>
      <c r="N69" s="103">
        <v>589.30999999999995</v>
      </c>
      <c r="P69" t="s">
        <v>343</v>
      </c>
      <c r="Q69" s="103">
        <v>1151.08</v>
      </c>
      <c r="R69">
        <v>5</v>
      </c>
      <c r="S69" s="103">
        <v>2194.09</v>
      </c>
      <c r="T69" t="s">
        <v>1223</v>
      </c>
      <c r="V69" t="s">
        <v>830</v>
      </c>
      <c r="W69" t="s">
        <v>939</v>
      </c>
      <c r="X69" t="str">
        <f t="shared" si="29"/>
        <v>Holmium</v>
      </c>
      <c r="Y69" t="str">
        <f t="shared" si="24"/>
        <v>Thulium</v>
      </c>
      <c r="Z69" t="s">
        <v>989</v>
      </c>
      <c r="AA69" s="72" t="s">
        <v>342</v>
      </c>
      <c r="AB69" s="108"/>
      <c r="AC69" s="72"/>
      <c r="AD69" s="87" t="s">
        <v>1210</v>
      </c>
      <c r="AE69" s="87" t="str">
        <f t="shared" si="25"/>
        <v>#REDIRECT [[Erbium]]</v>
      </c>
      <c r="AG69" t="str">
        <f t="shared" si="21"/>
        <v>Erbium</v>
      </c>
      <c r="AH69" t="str">
        <f t="shared" si="18"/>
        <v>Fermium</v>
      </c>
      <c r="AK69" t="str">
        <f t="shared" si="26"/>
        <v xml:space="preserve"> wurde 1843 in Schweden durch Mosander entdeckt.</v>
      </c>
      <c r="AN69" t="str">
        <f t="shared" si="20"/>
        <v>068</v>
      </c>
      <c r="AO69" t="s">
        <v>1236</v>
      </c>
      <c r="AP69" s="87" t="str">
        <f t="shared" si="22"/>
        <v>{{Element|Ordnungszahl=68|Symbol=Er|Name=Erbium|Atommasse=167,259|EN=1,2|BP=2900 °C|MP=1500 °C|Dichte=9,05 g/cm³|Ionenradius=89|Ivolt=589,31|Aradius=175,7</v>
      </c>
      <c r="AQ69" s="87" t="str">
        <f t="shared" si="27"/>
        <v>|Enthalpie=317.1|IVolt2=1151,08|Wert=5|IVolt3=2194,09|Farbe=silbrig-grau|Flamme=|Elektronenkonfiguration=[Xe] 6s2 4f12|EK-Wiki=[Xe] 6s&lt;sup&gt;2&lt;/sup&gt; 4f&lt;sup&gt;1&lt;/sup&gt;2|pre=Holmium|next=Thulium|Metall=Metall|E-Name=Erbium|L-Name=</v>
      </c>
      <c r="AR69" s="87" t="str">
        <f t="shared" si="28"/>
        <v>|Verwendung=|Wortherkunft=Der Name leitet sich von der Grube Ytterby bei Stockholm ab, wie auch der von Ytterbium, Terbium und Yttrium. Erbium (für Ytterby, einer schwedischen Stadt) wurde 1843 von Carl Gustav Mosander entdeckt.|L-Abk. bzw. redirect=#REDIRECT [[Erbium]]|radioaktiv=|hoch=Erbium|runter=Fermium|Bild-Element=|Bild-Verwendung=|www= wurde 1843 in Schweden durch Mosander entdeckt.|E-Gruppe=|Sonstiges-kurz=|OZ3=068|WL=nichda|Text= }}
[[Kategorie:Chemie]][[Kategorie:Chemikalien]]</v>
      </c>
      <c r="AS69" s="104" t="str">
        <f t="shared" si="19"/>
        <v>{{Element|Ordnungszahl=68|Symbol=Er|Name=Erbium|Atommasse=167,259|EN=1,2|BP=2900 °C|MP=1500 °C|Dichte=9,05 g/cm³|Ionenradius=89|Ivolt=589,31|Aradius=175,7|Enthalpie=317.1|IVolt2=1151,08|Wert=5|IVolt3=2194,09|Farbe=silbrig-grau|Flamme=|Elektronenkonfiguration=[Xe] 6s2 4f12|EK-Wiki=[Xe] 6s&lt;sup&gt;2&lt;/sup&gt; 4f&lt;sup&gt;1&lt;/sup&gt;2|pre=Holmium|next=Thulium|Metall=Metall|E-Name=Erbium|L-Name=|Verwendung=|Wortherkunft=Der Name leitet sich von der Grube Ytterby bei Stockholm ab, wie auch der von Ytterbium, Terbium und Yttrium. Erbium (für Ytterby, einer schwedischen Stadt) wurde 1843 von Carl Gustav Mosander entdeckt.|L-Abk. bzw. redirect=#REDIRECT [[Erbium]]|radioaktiv=|hoch=Erbium|runter=Fermium|Bild-Element=|Bild-Verwendung=|www= wurde 1843 in Schweden durch Mosander entdeckt.|E-Gruppe=|Sonstiges-kurz=|OZ3=068|WL=nichda|Text= }}
[[Kategorie:Chemie]][[Kategorie:Chemikalien]]</v>
      </c>
      <c r="AT69" t="str">
        <f t="shared" si="23"/>
        <v xml:space="preserve"> wurde 1843 in Schweden durch Mosander entdeckt. http://www.webelements.com/webelements/elements/media/element-pics/Er.jpg</v>
      </c>
    </row>
    <row r="70" spans="1:46" ht="276">
      <c r="A70">
        <v>69</v>
      </c>
      <c r="B70" t="s">
        <v>344</v>
      </c>
      <c r="C70" t="s">
        <v>345</v>
      </c>
      <c r="D70">
        <v>168.93421000000001</v>
      </c>
      <c r="E70">
        <v>1.2</v>
      </c>
      <c r="F70" t="s">
        <v>647</v>
      </c>
      <c r="G70" t="s">
        <v>612</v>
      </c>
      <c r="H70" t="s">
        <v>499</v>
      </c>
      <c r="I70">
        <v>1879</v>
      </c>
      <c r="J70" t="s">
        <v>230</v>
      </c>
      <c r="K70" t="s">
        <v>1076</v>
      </c>
      <c r="L70">
        <v>94</v>
      </c>
      <c r="M70">
        <v>174.6</v>
      </c>
      <c r="N70" s="103">
        <v>596.70000000000005</v>
      </c>
      <c r="P70" t="s">
        <v>346</v>
      </c>
      <c r="Q70" s="103">
        <v>1162.6600000000001</v>
      </c>
      <c r="R70">
        <v>5</v>
      </c>
      <c r="S70" s="103">
        <v>2284.79</v>
      </c>
      <c r="T70" t="s">
        <v>1227</v>
      </c>
      <c r="V70" t="s">
        <v>831</v>
      </c>
      <c r="W70" t="s">
        <v>940</v>
      </c>
      <c r="X70" t="str">
        <f t="shared" si="29"/>
        <v>Erbium</v>
      </c>
      <c r="Y70" t="str">
        <f t="shared" si="24"/>
        <v>Ytterbium</v>
      </c>
      <c r="Z70" t="s">
        <v>989</v>
      </c>
      <c r="AA70" s="72" t="s">
        <v>345</v>
      </c>
      <c r="AB70" s="108"/>
      <c r="AC70" s="72"/>
      <c r="AD70" s="87" t="s">
        <v>3</v>
      </c>
      <c r="AE70" s="87" t="str">
        <f t="shared" si="25"/>
        <v>#REDIRECT [[Thulium]]</v>
      </c>
      <c r="AG70" t="str">
        <f t="shared" si="21"/>
        <v>Thulium</v>
      </c>
      <c r="AH70" t="str">
        <f t="shared" si="18"/>
        <v>Mendelevium</v>
      </c>
      <c r="AK70" t="str">
        <f t="shared" si="26"/>
        <v xml:space="preserve"> wurde 1879 in Schweden durch Cleve entdeckt.</v>
      </c>
      <c r="AN70" t="str">
        <f t="shared" si="20"/>
        <v>069</v>
      </c>
      <c r="AO70" t="s">
        <v>1236</v>
      </c>
      <c r="AP70" s="87" t="str">
        <f t="shared" si="22"/>
        <v>{{Element|Ordnungszahl=69|Symbol=Tm|Name=Thulium|Atommasse=168,93421|EN=1,2|BP=1730 °C|MP=1550 °C|Dichte=9,32 g/cm³|Ionenradius=94|Ivolt=596,7|Aradius=174,6</v>
      </c>
      <c r="AQ70" s="87" t="str">
        <f t="shared" si="27"/>
        <v>|Enthalpie=232.2|IVolt2=1162,66|Wert=5|IVolt3=2284,79|Farbe=silbrig|Flamme=|Elektronenkonfiguration=[Xe] 6s2 4f13|EK-Wiki=[Xe] 6s&lt;sup&gt;2&lt;/sup&gt; 4f&lt;sup&gt;1&lt;/sup&gt;3|pre=Erbium|next=Ytterbium|Metall=Metall|E-Name=Thulium|L-Name=</v>
      </c>
      <c r="AR70" s="87" t="str">
        <f t="shared" si="28"/>
        <v>|Verwendung=|Wortherkunft=Thulium (nach ''Thule'', dem mythischen Namen für Skandinavien) wurde 1879 von dem schwedischen Chemiker Per Teodor Cleve zusammen mit Holmium in Erbia (Erbiumoxid) entdeckt (siehe Holmium|L-Abk. bzw. redirect=#REDIRECT [[Thulium]]|radioaktiv=|hoch=Thulium|runter=Mendelevium|Bild-Element=|Bild-Verwendung=|www= wurde 1879 in Schweden durch Cleve entdeckt.|E-Gruppe=|Sonstiges-kurz=|OZ3=069|WL=nichda|Text= }}
[[Kategorie:Chemie]][[Kategorie:Chemikalien]]</v>
      </c>
      <c r="AS70" s="104" t="str">
        <f t="shared" si="19"/>
        <v>{{Element|Ordnungszahl=69|Symbol=Tm|Name=Thulium|Atommasse=168,93421|EN=1,2|BP=1730 °C|MP=1550 °C|Dichte=9,32 g/cm³|Ionenradius=94|Ivolt=596,7|Aradius=174,6|Enthalpie=232.2|IVolt2=1162,66|Wert=5|IVolt3=2284,79|Farbe=silbrig|Flamme=|Elektronenkonfiguration=[Xe] 6s2 4f13|EK-Wiki=[Xe] 6s&lt;sup&gt;2&lt;/sup&gt; 4f&lt;sup&gt;1&lt;/sup&gt;3|pre=Erbium|next=Ytterbium|Metall=Metall|E-Name=Thulium|L-Name=|Verwendung=|Wortherkunft=Thulium (nach ''Thule'', dem mythischen Namen für Skandinavien) wurde 1879 von dem schwedischen Chemiker Per Teodor Cleve zusammen mit Holmium in Erbia (Erbiumoxid) entdeckt (siehe Holmium|L-Abk. bzw. redirect=#REDIRECT [[Thulium]]|radioaktiv=|hoch=Thulium|runter=Mendelevium|Bild-Element=|Bild-Verwendung=|www= wurde 1879 in Schweden durch Cleve entdeckt.|E-Gruppe=|Sonstiges-kurz=|OZ3=069|WL=nichda|Text= }}
[[Kategorie:Chemie]][[Kategorie:Chemikalien]]</v>
      </c>
      <c r="AT70" t="str">
        <f t="shared" si="23"/>
        <v xml:space="preserve"> wurde 1879 in Schweden durch Cleve entdeckt. http://www.webelements.com/webelements/elements/media/element-pics/Tm.jpg</v>
      </c>
    </row>
    <row r="71" spans="1:46" ht="331.2">
      <c r="A71">
        <v>70</v>
      </c>
      <c r="B71" t="s">
        <v>347</v>
      </c>
      <c r="C71" t="s">
        <v>348</v>
      </c>
      <c r="D71">
        <v>173.04</v>
      </c>
      <c r="E71">
        <v>1.1000000000000001</v>
      </c>
      <c r="F71" t="s">
        <v>648</v>
      </c>
      <c r="G71" t="s">
        <v>649</v>
      </c>
      <c r="H71" t="s">
        <v>500</v>
      </c>
      <c r="I71">
        <v>1878</v>
      </c>
      <c r="J71" t="s">
        <v>216</v>
      </c>
      <c r="K71" t="s">
        <v>330</v>
      </c>
      <c r="L71">
        <v>86</v>
      </c>
      <c r="M71">
        <v>194</v>
      </c>
      <c r="N71" s="103">
        <v>603.44000000000005</v>
      </c>
      <c r="P71" t="s">
        <v>349</v>
      </c>
      <c r="Q71" s="103">
        <v>1174.82</v>
      </c>
      <c r="R71">
        <v>3</v>
      </c>
      <c r="S71" s="103">
        <v>2416.9699999999998</v>
      </c>
      <c r="T71" t="s">
        <v>1227</v>
      </c>
      <c r="V71" t="s">
        <v>832</v>
      </c>
      <c r="W71" t="s">
        <v>941</v>
      </c>
      <c r="X71" t="str">
        <f t="shared" si="29"/>
        <v>Thulium</v>
      </c>
      <c r="Y71" t="str">
        <f t="shared" si="24"/>
        <v>Lutetium</v>
      </c>
      <c r="Z71" t="s">
        <v>989</v>
      </c>
      <c r="AA71" s="72" t="s">
        <v>348</v>
      </c>
      <c r="AB71" s="108"/>
      <c r="AC71" s="72"/>
      <c r="AD71" s="87" t="s">
        <v>263</v>
      </c>
      <c r="AE71" s="87" t="str">
        <f t="shared" si="25"/>
        <v>#REDIRECT [[Ytterbium]]</v>
      </c>
      <c r="AG71" t="str">
        <f t="shared" si="21"/>
        <v>Ytterbium</v>
      </c>
      <c r="AH71" t="str">
        <f t="shared" si="18"/>
        <v>Nobelium</v>
      </c>
      <c r="AK71" t="str">
        <f t="shared" si="26"/>
        <v xml:space="preserve"> wurde 1878 in Schweiz durch Marignac entdeckt.</v>
      </c>
      <c r="AN71" t="str">
        <f t="shared" si="20"/>
        <v>070</v>
      </c>
      <c r="AO71" t="s">
        <v>1236</v>
      </c>
      <c r="AP71" s="87" t="str">
        <f t="shared" si="22"/>
        <v>{{Element|Ordnungszahl=70|Symbol=Yb|Name=Ytterbium|Atommasse=173,04|EN=1,1|BP=1430 °C|MP=824 °C|Dichte=6,97 g/cm³|Ionenradius=86|Ivolt=603,44|Aradius=194</v>
      </c>
      <c r="AQ71" s="87" t="str">
        <f t="shared" si="27"/>
        <v>|Enthalpie=152.3|IVolt2=1174,82|Wert=3|IVolt3=2416,97|Farbe=silbrig|Flamme=|Elektronenkonfiguration=[Xe] 6s2 4f14|EK-Wiki=[Xe] 6s&lt;sup&gt;2&lt;/sup&gt; 4f&lt;sup&gt;1&lt;/sup&gt;4|pre=Thulium|next=Lutetium|Metall=Metall|E-Name=Ytterbium|L-Name=</v>
      </c>
      <c r="AR71" s="87" t="str">
        <f t="shared" si="28"/>
        <v>|Verwendung=|Wortherkunft=Ytterbium (abgeleitet von Ytterby, einer Grube auf einer Schäreninsel nördlich von Stockholm, das für die Namen der Elemente Yttrium, Terbium und Erbium Pate stand) Marignac fand in der als Erbia bekannten Erde einen neuen Bestandteil und nannte ihn Ytterbia. Er vermutete in der von ihm isolierten Verbindung ein neues Element, das er Ytterbium nannte. 1907 trennte der französische Chemiker Georges Urbain Marignacs Ytterbia in zwei Komponenten, Neoytterbia und Lutetia. Später verkürzte man die Elementbezeichnung Neoytterbium zu Ytterbium.|L-Abk. bzw. redirect=#REDIRECT [[Ytterbium]]|radioaktiv=|hoch=Ytterbium|runter=Nobelium|Bild-Element=|Bild-Verwendung=|www= wurde 1878 in Schweiz durch Marignac entdeckt.|E-Gruppe=|Sonstiges-kurz=|OZ3=070|WL=nichda|Text= }}
[[Kategorie:Chemie]][[Kategorie:Chemikalien]]</v>
      </c>
      <c r="AS71" s="104" t="str">
        <f t="shared" si="19"/>
        <v>{{Element|Ordnungszahl=70|Symbol=Yb|Name=Ytterbium|Atommasse=173,04|EN=1,1|BP=1430 °C|MP=824 °C|Dichte=6,97 g/cm³|Ionenradius=86|Ivolt=603,44|Aradius=194|Enthalpie=152.3|IVolt2=1174,82|Wert=3|IVolt3=2416,97|Farbe=silbrig|Flamme=|Elektronenkonfiguration=[Xe] 6s2 4f14|EK-Wiki=[Xe] 6s&lt;sup&gt;2&lt;/sup&gt; 4f&lt;sup&gt;1&lt;/sup&gt;4|pre=Thulium|next=Lutetium|Metall=Metall|E-Name=Ytterbium|L-Name=|Verwendung=|Wortherkunft=Ytterbium (abgeleitet von Ytterby, einer Grube auf einer Schäreninsel nördlich von Stockholm, das für die Namen der Elemente Yttrium, Terbium und Erbium Pate stand) Marignac fand in der als Erbia bekannten Erde einen neuen Bestandteil und nannte ihn Ytterbia. Er vermutete in der von ihm isolierten Verbindung ein neues Element, das er Ytterbium nannte. 1907 trennte der französische Chemiker Georges Urbain Marignacs Ytterbia in zwei Komponenten, Neoytterbia und Lutetia. Später verkürzte man die Elementbezeichnung Neoytterbium zu Ytterbium.|L-Abk. bzw. redirect=#REDIRECT [[Ytterbium]]|radioaktiv=|hoch=Ytterbium|runter=Nobelium|Bild-Element=|Bild-Verwendung=|www= wurde 1878 in Schweiz durch Marignac entdeckt.|E-Gruppe=|Sonstiges-kurz=|OZ3=070|WL=nichda|Text= }}
[[Kategorie:Chemie]][[Kategorie:Chemikalien]]</v>
      </c>
      <c r="AT71" t="str">
        <f t="shared" si="23"/>
        <v xml:space="preserve"> wurde 1878 in Schweiz durch Marignac entdeckt. http://www.webelements.com/webelements/elements/media/element-pics/Yb.jpg</v>
      </c>
    </row>
    <row r="72" spans="1:46" ht="248.4">
      <c r="A72">
        <v>71</v>
      </c>
      <c r="B72" t="s">
        <v>350</v>
      </c>
      <c r="C72" t="s">
        <v>351</v>
      </c>
      <c r="D72">
        <v>174.96700000000001</v>
      </c>
      <c r="E72">
        <v>1.3</v>
      </c>
      <c r="F72" t="s">
        <v>650</v>
      </c>
      <c r="G72" t="s">
        <v>651</v>
      </c>
      <c r="H72" t="s">
        <v>501</v>
      </c>
      <c r="I72">
        <v>1905</v>
      </c>
      <c r="J72" t="s">
        <v>232</v>
      </c>
      <c r="K72" t="s">
        <v>1080</v>
      </c>
      <c r="L72">
        <v>85</v>
      </c>
      <c r="M72">
        <v>173.4</v>
      </c>
      <c r="N72" s="103">
        <v>523.52</v>
      </c>
      <c r="P72" t="s">
        <v>352</v>
      </c>
      <c r="Q72" s="103">
        <v>1341.16</v>
      </c>
      <c r="R72">
        <v>4</v>
      </c>
      <c r="S72" s="103">
        <v>2022.29</v>
      </c>
      <c r="T72" t="s">
        <v>1227</v>
      </c>
      <c r="V72" t="s">
        <v>841</v>
      </c>
      <c r="W72" t="s">
        <v>942</v>
      </c>
      <c r="X72" t="str">
        <f t="shared" si="29"/>
        <v>Ytterbium</v>
      </c>
      <c r="Y72" t="str">
        <f t="shared" si="24"/>
        <v>Hafnium</v>
      </c>
      <c r="Z72" t="s">
        <v>989</v>
      </c>
      <c r="AA72" s="72" t="s">
        <v>351</v>
      </c>
      <c r="AB72" s="108"/>
      <c r="AC72" s="72"/>
      <c r="AD72" s="87" t="s">
        <v>264</v>
      </c>
      <c r="AE72" s="87" t="str">
        <f t="shared" si="25"/>
        <v>#REDIRECT [[Lutetium]]</v>
      </c>
      <c r="AG72" t="str">
        <f t="shared" si="21"/>
        <v>Lutetium</v>
      </c>
      <c r="AH72" t="str">
        <f t="shared" si="18"/>
        <v>Lawrencium</v>
      </c>
      <c r="AK72" t="str">
        <f t="shared" si="26"/>
        <v xml:space="preserve"> wurde 1905 in Frankreich durch Urbain, von Welsbach entdeckt.</v>
      </c>
      <c r="AN72" t="str">
        <f t="shared" si="20"/>
        <v>071</v>
      </c>
      <c r="AO72" t="s">
        <v>1236</v>
      </c>
      <c r="AP72" s="87" t="str">
        <f t="shared" si="22"/>
        <v>{{Element|Ordnungszahl=71|Symbol=Lu|Name=Lutetium|Atommasse=174,967|EN=1,3|BP=3330 °C|MP=1650 °C|Dichte=9,84 g/cm³|Ionenradius=85|Ivolt=523,52|Aradius=173,4</v>
      </c>
      <c r="AQ72" s="87" t="str">
        <f t="shared" si="27"/>
        <v>|Enthalpie=427.6|IVolt2=1341,16|Wert=4|IVolt3=2022,29|Farbe=silbrig|Flamme=|Elektronenkonfiguration=[Xe] 6s2 4f14 5d1|EK-Wiki=[Xe] 6s&lt;sup&gt;2&lt;/sup&gt; 4f&lt;sup&gt;1&lt;/sup&gt;4 5d&lt;sup&gt;1&lt;/sup&gt;|pre=Ytterbium|next=Hafnium|Metall=Metall|E-Name=Lutetium|L-Name=</v>
      </c>
      <c r="AR72" s="87" t="str">
        <f t="shared" si="28"/>
        <v>|Verwendung=|Wortherkunft=Lutetium wurde nach dem römischen Namen von Paris, ''Lutetia'', benannte.|L-Abk. bzw. redirect=#REDIRECT [[Lutetium]]|radioaktiv=|hoch=Lutetium|runter=Lawrencium|Bild-Element=|Bild-Verwendung=|www= wurde 1905 in Frankreich durch Urbain, von Welsbach entdeckt.|E-Gruppe=|Sonstiges-kurz=|OZ3=071|WL=nichda|Text= }}
[[Kategorie:Chemie]][[Kategorie:Chemikalien]]</v>
      </c>
      <c r="AS72" s="104" t="str">
        <f t="shared" si="19"/>
        <v>{{Element|Ordnungszahl=71|Symbol=Lu|Name=Lutetium|Atommasse=174,967|EN=1,3|BP=3330 °C|MP=1650 °C|Dichte=9,84 g/cm³|Ionenradius=85|Ivolt=523,52|Aradius=173,4|Enthalpie=427.6|IVolt2=1341,16|Wert=4|IVolt3=2022,29|Farbe=silbrig|Flamme=|Elektronenkonfiguration=[Xe] 6s2 4f14 5d1|EK-Wiki=[Xe] 6s&lt;sup&gt;2&lt;/sup&gt; 4f&lt;sup&gt;1&lt;/sup&gt;4 5d&lt;sup&gt;1&lt;/sup&gt;|pre=Ytterbium|next=Hafnium|Metall=Metall|E-Name=Lutetium|L-Name=|Verwendung=|Wortherkunft=Lutetium wurde nach dem römischen Namen von Paris, ''Lutetia'', benannte.|L-Abk. bzw. redirect=#REDIRECT [[Lutetium]]|radioaktiv=|hoch=Lutetium|runter=Lawrencium|Bild-Element=|Bild-Verwendung=|www= wurde 1905 in Frankreich durch Urbain, von Welsbach entdeckt.|E-Gruppe=|Sonstiges-kurz=|OZ3=071|WL=nichda|Text= }}
[[Kategorie:Chemie]][[Kategorie:Chemikalien]]</v>
      </c>
      <c r="AT72" t="str">
        <f t="shared" si="23"/>
        <v xml:space="preserve"> wurde 1905 in Frankreich durch Urbain, von Welsbach entdeckt. http://www.webelements.com/webelements/elements/media/element-pics/Lu.jpg</v>
      </c>
    </row>
    <row r="73" spans="1:46" ht="248.4">
      <c r="A73">
        <v>72</v>
      </c>
      <c r="B73" t="s">
        <v>353</v>
      </c>
      <c r="C73" t="s">
        <v>354</v>
      </c>
      <c r="D73">
        <v>178.49</v>
      </c>
      <c r="E73">
        <v>1.3</v>
      </c>
      <c r="F73" t="s">
        <v>652</v>
      </c>
      <c r="G73" t="s">
        <v>617</v>
      </c>
      <c r="H73" t="s">
        <v>502</v>
      </c>
      <c r="I73">
        <v>1923</v>
      </c>
      <c r="J73" t="s">
        <v>233</v>
      </c>
      <c r="K73" t="s">
        <v>1112</v>
      </c>
      <c r="L73">
        <v>84</v>
      </c>
      <c r="M73">
        <v>156.4</v>
      </c>
      <c r="N73" s="103">
        <v>658.52</v>
      </c>
      <c r="P73" t="s">
        <v>355</v>
      </c>
      <c r="Q73" s="103">
        <v>1437.64</v>
      </c>
      <c r="R73">
        <v>5</v>
      </c>
      <c r="S73" s="103">
        <v>2248.12</v>
      </c>
      <c r="T73" t="s">
        <v>1227</v>
      </c>
      <c r="V73" t="s">
        <v>842</v>
      </c>
      <c r="W73" t="s">
        <v>943</v>
      </c>
      <c r="X73" t="str">
        <f t="shared" si="29"/>
        <v>Lutetium</v>
      </c>
      <c r="Y73" t="str">
        <f t="shared" si="24"/>
        <v>Tantal</v>
      </c>
      <c r="Z73" t="s">
        <v>989</v>
      </c>
      <c r="AA73" s="72" t="s">
        <v>354</v>
      </c>
      <c r="AB73" s="108"/>
      <c r="AC73" s="72"/>
      <c r="AD73" s="87" t="s">
        <v>265</v>
      </c>
      <c r="AE73" s="87" t="str">
        <f t="shared" si="25"/>
        <v>#REDIRECT [[Hafnium]]</v>
      </c>
      <c r="AG73" t="str">
        <f t="shared" ref="AG73:AG79" si="30">C41</f>
        <v>Zirconium</v>
      </c>
      <c r="AH73" t="str">
        <f t="shared" si="18"/>
        <v>Rutherfordium</v>
      </c>
      <c r="AK73" t="str">
        <f t="shared" si="26"/>
        <v xml:space="preserve"> wurde 1923 in Dänemark durch Coster, de Hevesey entdeckt.</v>
      </c>
      <c r="AN73" t="str">
        <f t="shared" si="20"/>
        <v>072</v>
      </c>
      <c r="AO73" t="s">
        <v>1236</v>
      </c>
      <c r="AP73" s="87" t="str">
        <f t="shared" si="22"/>
        <v>{{Element|Ordnungszahl=72|Symbol=Hf|Name=Hafnium|Atommasse=178,49|EN=1,3|BP=5400 °C|MP=2000 °C|Dichte=13,31 g/cm³|Ionenradius=84|Ivolt=658,52|Aradius=156,4</v>
      </c>
      <c r="AQ73" s="87" t="str">
        <f t="shared" si="27"/>
        <v>|Enthalpie=619.2|IVolt2=1437,64|Wert=5|IVolt3=2248,12|Farbe=silbrig|Flamme=|Elektronenkonfiguration=[Xe] 6s2 4f14 5d2|EK-Wiki=[Xe] 6s&lt;sup&gt;2&lt;/sup&gt; 4f&lt;sup&gt;1&lt;/sup&gt;4 5d&lt;sup&gt;2&lt;/sup&gt;|pre=Lutetium|next=Tantal|Metall=Metall|E-Name=Hafnium|L-Name=</v>
      </c>
      <c r="AR73" s="87" t="str">
        <f t="shared" si="28"/>
        <v>|Verwendung=|Wortherkunft=Hafnium (lat. ''Hafnia'' für Kopenhagen) wurde 1923 in Kopenhagen entdeckt.|L-Abk. bzw. redirect=#REDIRECT [[Hafnium]]|radioaktiv=|hoch=Zirconium|runter=Rutherfordium|Bild-Element=|Bild-Verwendung=|www= wurde 1923 in Dänemark durch Coster, de Hevesey entdeckt.|E-Gruppe=|Sonstiges-kurz=|OZ3=072|WL=nichda|Text= }}
[[Kategorie:Chemie]][[Kategorie:Chemikalien]]</v>
      </c>
      <c r="AS73" s="104" t="str">
        <f t="shared" si="19"/>
        <v>{{Element|Ordnungszahl=72|Symbol=Hf|Name=Hafnium|Atommasse=178,49|EN=1,3|BP=5400 °C|MP=2000 °C|Dichte=13,31 g/cm³|Ionenradius=84|Ivolt=658,52|Aradius=156,4|Enthalpie=619.2|IVolt2=1437,64|Wert=5|IVolt3=2248,12|Farbe=silbrig|Flamme=|Elektronenkonfiguration=[Xe] 6s2 4f14 5d2|EK-Wiki=[Xe] 6s&lt;sup&gt;2&lt;/sup&gt; 4f&lt;sup&gt;1&lt;/sup&gt;4 5d&lt;sup&gt;2&lt;/sup&gt;|pre=Lutetium|next=Tantal|Metall=Metall|E-Name=Hafnium|L-Name=|Verwendung=|Wortherkunft=Hafnium (lat. ''Hafnia'' für Kopenhagen) wurde 1923 in Kopenhagen entdeckt.|L-Abk. bzw. redirect=#REDIRECT [[Hafnium]]|radioaktiv=|hoch=Zirconium|runter=Rutherfordium|Bild-Element=|Bild-Verwendung=|www= wurde 1923 in Dänemark durch Coster, de Hevesey entdeckt.|E-Gruppe=|Sonstiges-kurz=|OZ3=072|WL=nichda|Text= }}
[[Kategorie:Chemie]][[Kategorie:Chemikalien]]</v>
      </c>
      <c r="AT73" t="str">
        <f t="shared" si="23"/>
        <v xml:space="preserve"> wurde 1923 in Dänemark durch Coster, de Hevesey entdeckt. http://www.webelements.com/webelements/elements/media/element-pics/Hf.jpg</v>
      </c>
    </row>
    <row r="74" spans="1:46" ht="345">
      <c r="A74">
        <v>73</v>
      </c>
      <c r="B74" t="s">
        <v>356</v>
      </c>
      <c r="C74" t="s">
        <v>357</v>
      </c>
      <c r="D74">
        <v>180.9479</v>
      </c>
      <c r="E74">
        <v>1.5</v>
      </c>
      <c r="F74" t="s">
        <v>653</v>
      </c>
      <c r="G74" t="s">
        <v>576</v>
      </c>
      <c r="H74" t="s">
        <v>503</v>
      </c>
      <c r="I74">
        <v>1846</v>
      </c>
      <c r="J74" t="s">
        <v>234</v>
      </c>
      <c r="K74" t="s">
        <v>1076</v>
      </c>
      <c r="L74">
        <v>64</v>
      </c>
      <c r="M74">
        <v>143</v>
      </c>
      <c r="N74" s="103">
        <v>728.43</v>
      </c>
      <c r="P74">
        <v>782</v>
      </c>
      <c r="Q74" s="103" t="s">
        <v>1068</v>
      </c>
      <c r="R74">
        <v>11</v>
      </c>
      <c r="S74" s="103" t="s">
        <v>1068</v>
      </c>
      <c r="T74" t="s">
        <v>32</v>
      </c>
      <c r="V74" t="s">
        <v>843</v>
      </c>
      <c r="W74" t="s">
        <v>944</v>
      </c>
      <c r="X74" t="str">
        <f t="shared" si="29"/>
        <v>Hafnium</v>
      </c>
      <c r="Y74" t="str">
        <f t="shared" si="24"/>
        <v>Wolfram</v>
      </c>
      <c r="Z74" t="s">
        <v>989</v>
      </c>
      <c r="AA74" s="72" t="s">
        <v>1038</v>
      </c>
      <c r="AB74" s="108"/>
      <c r="AC74" s="72"/>
      <c r="AD74" s="87" t="s">
        <v>266</v>
      </c>
      <c r="AE74" s="87" t="str">
        <f t="shared" si="25"/>
        <v>#REDIRECT [[Tantal]]</v>
      </c>
      <c r="AG74" t="str">
        <f t="shared" si="30"/>
        <v>Niob</v>
      </c>
      <c r="AH74" t="str">
        <f t="shared" si="18"/>
        <v>Dubnium</v>
      </c>
      <c r="AK74" t="str">
        <f t="shared" si="26"/>
        <v xml:space="preserve"> wurde 1846 in Schweden durch Rose entdeckt.</v>
      </c>
      <c r="AN74" t="str">
        <f t="shared" si="20"/>
        <v>073</v>
      </c>
      <c r="AO74" t="s">
        <v>1236</v>
      </c>
      <c r="AP74" s="87" t="str">
        <f t="shared" si="22"/>
        <v>{{Element|Ordnungszahl=73|Symbol=Ta|Name=Tantal|Atommasse=180,9479|EN=1,5|BP=5430 °C|MP=3000 °C|Dichte=16,68 g/cm³|Ionenradius=64|Ivolt=728,43|Aradius=143</v>
      </c>
      <c r="AQ74" s="87" t="str">
        <f t="shared" si="27"/>
        <v>|Enthalpie=782|IVolt2=-|Wert=11|IVolt3=-|Farbe=grau|Flamme=|Elektronenkonfiguration=[Xe] 6s2 4f14 5d3|EK-Wiki=[Xe] 6s&lt;sup&gt;2&lt;/sup&gt; 4f&lt;sup&gt;1&lt;/sup&gt;4 5d&lt;sup&gt;3&lt;/sup&gt;|pre=Hafnium|next=Wolfram|Metall=Metall|E-Name=Tantalum|L-Name=</v>
      </c>
      <c r="AR74" s="87" t="str">
        <f t="shared" si="28"/>
        <v>|Verwendung=|Wortherkunft=Tantal (''Tantalos'', griechische Mythologie) Lange Zeit hielt man Niob und Tantal für identisch. Erst 1844 konnte Heinrich Rose das unterschiedliche Verhalten von Niob- und Tantalsäure zeigen. Seinen Namen erhielt es in Anlehnung an die griechische Mythologie, da es unter der Säure "schmachten muss und seinen Durst nicht löschen kann, wie Tantalos in der Unterwelt". (Weil Ta&lt;small&gt;2&lt;/small&gt;O&lt;small&gt;5&lt;/small&gt; mit Säuren keine Salze bildet.)|L-Abk. bzw. redirect=#REDIRECT [[Tantal]]|radioaktiv=|hoch=Niob|runter=Dubnium|Bild-Element=|Bild-Verwendung=|www= wurde 1846 in Schweden durch Rose entdeckt.|E-Gruppe=|Sonstiges-kurz=|OZ3=073|WL=nichda|Text= }}
[[Kategorie:Chemie]][[Kategorie:Chemikalien]]</v>
      </c>
      <c r="AS74" s="104" t="str">
        <f t="shared" si="19"/>
        <v>{{Element|Ordnungszahl=73|Symbol=Ta|Name=Tantal|Atommasse=180,9479|EN=1,5|BP=5430 °C|MP=3000 °C|Dichte=16,68 g/cm³|Ionenradius=64|Ivolt=728,43|Aradius=143|Enthalpie=782|IVolt2=-|Wert=11|IVolt3=-|Farbe=grau|Flamme=|Elektronenkonfiguration=[Xe] 6s2 4f14 5d3|EK-Wiki=[Xe] 6s&lt;sup&gt;2&lt;/sup&gt; 4f&lt;sup&gt;1&lt;/sup&gt;4 5d&lt;sup&gt;3&lt;/sup&gt;|pre=Hafnium|next=Wolfram|Metall=Metall|E-Name=Tantalum|L-Name=|Verwendung=|Wortherkunft=Tantal (''Tantalos'', griechische Mythologie) Lange Zeit hielt man Niob und Tantal für identisch. Erst 1844 konnte Heinrich Rose das unterschiedliche Verhalten von Niob- und Tantalsäure zeigen. Seinen Namen erhielt es in Anlehnung an die griechische Mythologie, da es unter der Säure "schmachten muss und seinen Durst nicht löschen kann, wie Tantalos in der Unterwelt". (Weil Ta&lt;small&gt;2&lt;/small&gt;O&lt;small&gt;5&lt;/small&gt; mit Säuren keine Salze bildet.)|L-Abk. bzw. redirect=#REDIRECT [[Tantal]]|radioaktiv=|hoch=Niob|runter=Dubnium|Bild-Element=|Bild-Verwendung=|www= wurde 1846 in Schweden durch Rose entdeckt.|E-Gruppe=|Sonstiges-kurz=|OZ3=073|WL=nichda|Text= }}
[[Kategorie:Chemie]][[Kategorie:Chemikalien]]</v>
      </c>
      <c r="AT74" t="str">
        <f t="shared" si="23"/>
        <v xml:space="preserve"> wurde 1846 in Schweden durch Rose entdeckt. http://www.webelements.com/webelements/elements/media/element-pics/Ta.jpg</v>
      </c>
    </row>
    <row r="75" spans="1:46" ht="276">
      <c r="A75">
        <v>74</v>
      </c>
      <c r="B75" t="s">
        <v>358</v>
      </c>
      <c r="C75" t="s">
        <v>359</v>
      </c>
      <c r="D75">
        <v>183.84</v>
      </c>
      <c r="E75">
        <v>1.7</v>
      </c>
      <c r="F75" t="s">
        <v>654</v>
      </c>
      <c r="G75" t="s">
        <v>655</v>
      </c>
      <c r="H75" t="s">
        <v>504</v>
      </c>
      <c r="I75">
        <v>1783</v>
      </c>
      <c r="J75" t="s">
        <v>235</v>
      </c>
      <c r="K75" t="s">
        <v>360</v>
      </c>
      <c r="L75">
        <v>62</v>
      </c>
      <c r="M75">
        <v>137</v>
      </c>
      <c r="N75" s="103">
        <v>758.77</v>
      </c>
      <c r="P75" t="s">
        <v>361</v>
      </c>
      <c r="Q75" s="103" t="s">
        <v>1068</v>
      </c>
      <c r="R75">
        <v>6</v>
      </c>
      <c r="S75" s="103" t="s">
        <v>1068</v>
      </c>
      <c r="T75" t="s">
        <v>1229</v>
      </c>
      <c r="V75" t="s">
        <v>844</v>
      </c>
      <c r="W75" t="s">
        <v>945</v>
      </c>
      <c r="X75" t="str">
        <f t="shared" si="29"/>
        <v>Tantal</v>
      </c>
      <c r="Y75" t="str">
        <f t="shared" si="24"/>
        <v>Rhenium</v>
      </c>
      <c r="Z75" t="s">
        <v>989</v>
      </c>
      <c r="AA75" s="72" t="s">
        <v>1050</v>
      </c>
      <c r="AB75" s="108"/>
      <c r="AC75" s="72"/>
      <c r="AD75" s="87" t="s">
        <v>6</v>
      </c>
      <c r="AE75" s="87" t="str">
        <f t="shared" si="25"/>
        <v>#REDIRECT [[Wolfram]]</v>
      </c>
      <c r="AG75" t="str">
        <f t="shared" si="30"/>
        <v>Molybdän</v>
      </c>
      <c r="AH75" t="str">
        <f t="shared" si="18"/>
        <v>Seaborgium</v>
      </c>
      <c r="AK75" t="str">
        <f t="shared" si="26"/>
        <v xml:space="preserve"> wurde 1783 in Spanien durch de Elhuyar entdeckt.</v>
      </c>
      <c r="AN75" t="str">
        <f t="shared" ref="AN75:AN100" si="31">CONCATENATE("0",A75,)</f>
        <v>074</v>
      </c>
      <c r="AO75" t="s">
        <v>1235</v>
      </c>
      <c r="AP75" s="87" t="str">
        <f t="shared" si="22"/>
        <v>{{Element|Ordnungszahl=74|Symbol=W|Name=Wolfram|Atommasse=183,84|EN=1,7|BP=5930 °C|MP=3410 °C|Dichte=19,26 g/cm³|Ionenradius=62|Ivolt=758,77|Aradius=137</v>
      </c>
      <c r="AQ75" s="87" t="str">
        <f t="shared" si="27"/>
        <v>|Enthalpie=849.4|IVolt2=-|Wert=6|IVolt3=-|Farbe=silbrig-weiß|Flamme=|Elektronenkonfiguration=[Xe] 6s2 4f14 5d4|EK-Wiki=[Xe] 6s&lt;sup&gt;2&lt;/sup&gt; 4f&lt;sup&gt;1&lt;/sup&gt;4 5d&lt;sup&gt;4&lt;/sup&gt;|pre=Tantal|next=Rhenium|Metall=Metall|E-Name=Tungsten|L-Name=</v>
      </c>
      <c r="AR75" s="87" t="str">
        <f t="shared" si="28"/>
        <v>|Verwendung=|Wortherkunft=Er nannte das Mineral lupi spuma, was aus dem Lateinischen übersetzt soviel wie "Wolf(s)-Schaum bedeutet. Später wurde aus Wolfschaum Wolfrahm. Und schließlich entstand das heute bekannte Wort Wolfram.|L-Abk. bzw. redirect=#REDIRECT [[Wolfram]]|radioaktiv=|hoch=Molybdän|runter=Seaborgium|Bild-Element=|Bild-Verwendung=|www= wurde 1783 in Spanien durch de Elhuyar entdeckt.|E-Gruppe=|Sonstiges-kurz=|OZ3=074|WL=Sammlung|Text= }}
[[Kategorie:Chemie]][[Kategorie:Chemikalien]]</v>
      </c>
      <c r="AS75" s="104" t="str">
        <f t="shared" si="19"/>
        <v>{{Element|Ordnungszahl=74|Symbol=W|Name=Wolfram|Atommasse=183,84|EN=1,7|BP=5930 °C|MP=3410 °C|Dichte=19,26 g/cm³|Ionenradius=62|Ivolt=758,77|Aradius=137|Enthalpie=849.4|IVolt2=-|Wert=6|IVolt3=-|Farbe=silbrig-weiß|Flamme=|Elektronenkonfiguration=[Xe] 6s2 4f14 5d4|EK-Wiki=[Xe] 6s&lt;sup&gt;2&lt;/sup&gt; 4f&lt;sup&gt;1&lt;/sup&gt;4 5d&lt;sup&gt;4&lt;/sup&gt;|pre=Tantal|next=Rhenium|Metall=Metall|E-Name=Tungsten|L-Name=|Verwendung=|Wortherkunft=Er nannte das Mineral lupi spuma, was aus dem Lateinischen übersetzt soviel wie "Wolf(s)-Schaum bedeutet. Später wurde aus Wolfschaum Wolfrahm. Und schließlich entstand das heute bekannte Wort Wolfram.|L-Abk. bzw. redirect=#REDIRECT [[Wolfram]]|radioaktiv=|hoch=Molybdän|runter=Seaborgium|Bild-Element=|Bild-Verwendung=|www= wurde 1783 in Spanien durch de Elhuyar entdeckt.|E-Gruppe=|Sonstiges-kurz=|OZ3=074|WL=Sammlung|Text= }}
[[Kategorie:Chemie]][[Kategorie:Chemikalien]]</v>
      </c>
      <c r="AT75" t="str">
        <f t="shared" si="23"/>
        <v xml:space="preserve"> wurde 1783 in Spanien durch de Elhuyar entdeckt. http://www.webelements.com/webelements/elements/media/element-pics/W.jpg</v>
      </c>
    </row>
    <row r="76" spans="1:46" ht="234.6">
      <c r="A76">
        <v>75</v>
      </c>
      <c r="B76" t="s">
        <v>362</v>
      </c>
      <c r="C76" t="s">
        <v>363</v>
      </c>
      <c r="D76">
        <v>186.20699999999999</v>
      </c>
      <c r="E76">
        <v>1.9</v>
      </c>
      <c r="F76" t="s">
        <v>656</v>
      </c>
      <c r="G76" t="s">
        <v>657</v>
      </c>
      <c r="H76" t="s">
        <v>505</v>
      </c>
      <c r="I76">
        <v>1925</v>
      </c>
      <c r="J76" t="s">
        <v>236</v>
      </c>
      <c r="K76" t="s">
        <v>1120</v>
      </c>
      <c r="L76">
        <v>60</v>
      </c>
      <c r="M76">
        <v>137</v>
      </c>
      <c r="N76" s="103">
        <v>755.82</v>
      </c>
      <c r="P76" t="s">
        <v>364</v>
      </c>
      <c r="Q76" s="103" t="s">
        <v>1068</v>
      </c>
      <c r="R76">
        <v>12</v>
      </c>
      <c r="S76" s="103" t="s">
        <v>1068</v>
      </c>
      <c r="T76" t="s">
        <v>1229</v>
      </c>
      <c r="V76" t="s">
        <v>845</v>
      </c>
      <c r="W76" t="s">
        <v>946</v>
      </c>
      <c r="X76" t="str">
        <f t="shared" si="29"/>
        <v>Wolfram</v>
      </c>
      <c r="Y76" t="str">
        <f t="shared" si="24"/>
        <v>Osmium</v>
      </c>
      <c r="Z76" t="s">
        <v>989</v>
      </c>
      <c r="AA76" s="72" t="s">
        <v>363</v>
      </c>
      <c r="AB76" s="108"/>
      <c r="AC76" s="72"/>
      <c r="AD76" s="87" t="s">
        <v>267</v>
      </c>
      <c r="AE76" s="87" t="str">
        <f t="shared" si="25"/>
        <v>#REDIRECT [[Rhenium]]</v>
      </c>
      <c r="AG76" t="str">
        <f t="shared" si="30"/>
        <v>Technetium</v>
      </c>
      <c r="AH76" t="str">
        <f t="shared" si="18"/>
        <v>Bohrium</v>
      </c>
      <c r="AK76" t="str">
        <f t="shared" si="26"/>
        <v xml:space="preserve"> wurde 1925 in Deutschland durch Noddack, Berg entdeckt.</v>
      </c>
      <c r="AN76" t="str">
        <f t="shared" si="31"/>
        <v>075</v>
      </c>
      <c r="AO76" t="s">
        <v>1236</v>
      </c>
      <c r="AP76" s="87" t="str">
        <f t="shared" si="22"/>
        <v>{{Element|Ordnungszahl=75|Symbol=Re|Name=Rhenium|Atommasse=186,207|EN=1,9|BP=5630 °C|MP=3180 °C|Dichte=21,03 g/cm³|Ionenradius=60|Ivolt=755,82|Aradius=137</v>
      </c>
      <c r="AQ76" s="87" t="str">
        <f t="shared" si="27"/>
        <v>|Enthalpie=769.9|IVolt2=-|Wert=12|IVolt3=-|Farbe=silbrig-weiß|Flamme=|Elektronenkonfiguration=[Xe] 6s2 4f14 5d5|EK-Wiki=[Xe] 6s&lt;sup&gt;2&lt;/sup&gt; 4f&lt;sup&gt;1&lt;/sup&gt;4 5d&lt;sup&gt;5&lt;/sup&gt;|pre=Wolfram|next=Osmium|Metall=Metall|E-Name=Rhenium|L-Name=</v>
      </c>
      <c r="AR76" s="87" t="str">
        <f t="shared" si="28"/>
        <v>|Verwendung=|Wortherkunft=Rhenium (lat. ''Rhenus'' für Rhein)|L-Abk. bzw. redirect=#REDIRECT [[Rhenium]]|radioaktiv=|hoch=Technetium|runter=Bohrium|Bild-Element=|Bild-Verwendung=|www= wurde 1925 in Deutschland durch Noddack, Berg entdeckt.|E-Gruppe=|Sonstiges-kurz=|OZ3=075|WL=nichda|Text= }}
[[Kategorie:Chemie]][[Kategorie:Chemikalien]]</v>
      </c>
      <c r="AS76" s="104" t="str">
        <f t="shared" si="19"/>
        <v>{{Element|Ordnungszahl=75|Symbol=Re|Name=Rhenium|Atommasse=186,207|EN=1,9|BP=5630 °C|MP=3180 °C|Dichte=21,03 g/cm³|Ionenradius=60|Ivolt=755,82|Aradius=137|Enthalpie=769.9|IVolt2=-|Wert=12|IVolt3=-|Farbe=silbrig-weiß|Flamme=|Elektronenkonfiguration=[Xe] 6s2 4f14 5d5|EK-Wiki=[Xe] 6s&lt;sup&gt;2&lt;/sup&gt; 4f&lt;sup&gt;1&lt;/sup&gt;4 5d&lt;sup&gt;5&lt;/sup&gt;|pre=Wolfram|next=Osmium|Metall=Metall|E-Name=Rhenium|L-Name=|Verwendung=|Wortherkunft=Rhenium (lat. ''Rhenus'' für Rhein)|L-Abk. bzw. redirect=#REDIRECT [[Rhenium]]|radioaktiv=|hoch=Technetium|runter=Bohrium|Bild-Element=|Bild-Verwendung=|www= wurde 1925 in Deutschland durch Noddack, Berg entdeckt.|E-Gruppe=|Sonstiges-kurz=|OZ3=075|WL=nichda|Text= }}
[[Kategorie:Chemie]][[Kategorie:Chemikalien]]</v>
      </c>
      <c r="AT76" t="str">
        <f t="shared" si="23"/>
        <v xml:space="preserve"> wurde 1925 in Deutschland durch Noddack, Berg entdeckt. http://www.webelements.com/webelements/elements/media/element-pics/Re.jpg</v>
      </c>
    </row>
    <row r="77" spans="1:46" ht="276">
      <c r="A77">
        <v>76</v>
      </c>
      <c r="B77" t="s">
        <v>365</v>
      </c>
      <c r="C77" t="s">
        <v>366</v>
      </c>
      <c r="D77">
        <v>190.23</v>
      </c>
      <c r="E77">
        <v>2.2000000000000002</v>
      </c>
      <c r="F77" t="s">
        <v>658</v>
      </c>
      <c r="G77" t="s">
        <v>576</v>
      </c>
      <c r="H77" t="s">
        <v>506</v>
      </c>
      <c r="I77">
        <v>1804</v>
      </c>
      <c r="J77" t="s">
        <v>237</v>
      </c>
      <c r="K77" t="s">
        <v>1067</v>
      </c>
      <c r="L77">
        <v>67</v>
      </c>
      <c r="M77">
        <v>135</v>
      </c>
      <c r="N77" s="103">
        <v>814.17</v>
      </c>
      <c r="P77">
        <v>791</v>
      </c>
      <c r="Q77" s="103" t="s">
        <v>1068</v>
      </c>
      <c r="R77">
        <v>6</v>
      </c>
      <c r="S77" s="103" t="s">
        <v>1068</v>
      </c>
      <c r="T77" t="s">
        <v>367</v>
      </c>
      <c r="V77" t="s">
        <v>846</v>
      </c>
      <c r="W77" t="s">
        <v>947</v>
      </c>
      <c r="X77" t="str">
        <f t="shared" si="29"/>
        <v>Rhenium</v>
      </c>
      <c r="Y77" t="str">
        <f t="shared" si="24"/>
        <v>Iridium</v>
      </c>
      <c r="Z77" t="s">
        <v>989</v>
      </c>
      <c r="AA77" s="72" t="s">
        <v>366</v>
      </c>
      <c r="AB77" s="108"/>
      <c r="AC77" s="72"/>
      <c r="AD77" s="87" t="s">
        <v>268</v>
      </c>
      <c r="AE77" s="87" t="str">
        <f t="shared" si="25"/>
        <v>#REDIRECT [[Osmium]]</v>
      </c>
      <c r="AG77" t="str">
        <f t="shared" si="30"/>
        <v>Ruthenium</v>
      </c>
      <c r="AH77" t="str">
        <f t="shared" si="18"/>
        <v>Hassium</v>
      </c>
      <c r="AK77" t="str">
        <f t="shared" si="26"/>
        <v xml:space="preserve"> wurde 1804 in England durch Tennant entdeckt.</v>
      </c>
      <c r="AN77" t="str">
        <f t="shared" si="31"/>
        <v>076</v>
      </c>
      <c r="AO77" t="s">
        <v>1236</v>
      </c>
      <c r="AP77" s="87" t="str">
        <f t="shared" si="22"/>
        <v>{{Element|Ordnungszahl=76|Symbol=Os|Name=Osmium|Atommasse=190,23|EN=2,2|BP=5500 °C|MP=3000 °C|Dichte=22,61 g/cm³|Ionenradius=67|Ivolt=814,17|Aradius=135</v>
      </c>
      <c r="AQ77" s="87" t="str">
        <f t="shared" si="27"/>
        <v>|Enthalpie=791|IVolt2=-|Wert=6|IVolt3=-|Farbe=blau-grau|Flamme=|Elektronenkonfiguration=[Xe] 6s2 4f14 5d6|EK-Wiki=[Xe] 6s&lt;sup&gt;2&lt;/sup&gt; 4f&lt;sup&gt;1&lt;/sup&gt;4 5d&lt;sup&gt;6&lt;/sup&gt;|pre=Rhenium|next=Iridium|Metall=Metall|E-Name=Osmium|L-Name=</v>
      </c>
      <c r="AR77" s="87" t="str">
        <f t="shared" si="28"/>
        <v>|Verwendung=|Wortherkunft=Osmium (griechisch ''osme'' für Geruch) wurde im Rückstand von in Königswasser aufgelöstem Platin entdeckt. Seinem rettichartigen Geruch verdankt das Element seinen Namen.|L-Abk. bzw. redirect=#REDIRECT [[Osmium]]|radioaktiv=|hoch=Ruthenium|runter=Hassium|Bild-Element=|Bild-Verwendung=|www= wurde 1804 in England durch Tennant entdeckt.|E-Gruppe=|Sonstiges-kurz=|OZ3=076|WL=nichda|Text= }}
[[Kategorie:Chemie]][[Kategorie:Chemikalien]]</v>
      </c>
      <c r="AS77" s="104" t="str">
        <f t="shared" si="19"/>
        <v>{{Element|Ordnungszahl=76|Symbol=Os|Name=Osmium|Atommasse=190,23|EN=2,2|BP=5500 °C|MP=3000 °C|Dichte=22,61 g/cm³|Ionenradius=67|Ivolt=814,17|Aradius=135|Enthalpie=791|IVolt2=-|Wert=6|IVolt3=-|Farbe=blau-grau|Flamme=|Elektronenkonfiguration=[Xe] 6s2 4f14 5d6|EK-Wiki=[Xe] 6s&lt;sup&gt;2&lt;/sup&gt; 4f&lt;sup&gt;1&lt;/sup&gt;4 5d&lt;sup&gt;6&lt;/sup&gt;|pre=Rhenium|next=Iridium|Metall=Metall|E-Name=Osmium|L-Name=|Verwendung=|Wortherkunft=Osmium (griechisch ''osme'' für Geruch) wurde im Rückstand von in Königswasser aufgelöstem Platin entdeckt. Seinem rettichartigen Geruch verdankt das Element seinen Namen.|L-Abk. bzw. redirect=#REDIRECT [[Osmium]]|radioaktiv=|hoch=Ruthenium|runter=Hassium|Bild-Element=|Bild-Verwendung=|www= wurde 1804 in England durch Tennant entdeckt.|E-Gruppe=|Sonstiges-kurz=|OZ3=076|WL=nichda|Text= }}
[[Kategorie:Chemie]][[Kategorie:Chemikalien]]</v>
      </c>
      <c r="AT77" t="str">
        <f t="shared" si="23"/>
        <v xml:space="preserve"> wurde 1804 in England durch Tennant entdeckt. http://www.webelements.com/webelements/elements/media/element-pics/Os.jpg</v>
      </c>
    </row>
    <row r="78" spans="1:46" ht="262.2">
      <c r="A78">
        <v>77</v>
      </c>
      <c r="B78" t="s">
        <v>368</v>
      </c>
      <c r="C78" t="s">
        <v>369</v>
      </c>
      <c r="D78">
        <v>192.21700000000001</v>
      </c>
      <c r="E78">
        <v>2.2000000000000002</v>
      </c>
      <c r="F78" t="s">
        <v>659</v>
      </c>
      <c r="G78" t="s">
        <v>551</v>
      </c>
      <c r="H78" t="s">
        <v>507</v>
      </c>
      <c r="I78">
        <v>1804</v>
      </c>
      <c r="J78" t="s">
        <v>237</v>
      </c>
      <c r="K78" t="s">
        <v>1067</v>
      </c>
      <c r="L78">
        <v>66</v>
      </c>
      <c r="M78">
        <v>135.69999999999999</v>
      </c>
      <c r="N78" s="103">
        <v>865.19</v>
      </c>
      <c r="P78" t="s">
        <v>370</v>
      </c>
      <c r="Q78" s="103" t="s">
        <v>1068</v>
      </c>
      <c r="R78">
        <v>6</v>
      </c>
      <c r="S78" s="103" t="s">
        <v>1068</v>
      </c>
      <c r="T78" t="s">
        <v>1109</v>
      </c>
      <c r="V78" t="s">
        <v>847</v>
      </c>
      <c r="W78" t="s">
        <v>948</v>
      </c>
      <c r="X78" t="str">
        <f t="shared" si="29"/>
        <v>Osmium</v>
      </c>
      <c r="Y78" t="str">
        <f t="shared" si="24"/>
        <v>Platin</v>
      </c>
      <c r="Z78" t="s">
        <v>989</v>
      </c>
      <c r="AA78" s="72" t="s">
        <v>369</v>
      </c>
      <c r="AB78" s="108"/>
      <c r="AC78" s="72"/>
      <c r="AD78" s="87" t="s">
        <v>269</v>
      </c>
      <c r="AE78" s="87" t="str">
        <f t="shared" si="25"/>
        <v>#REDIRECT [[Iridium]]</v>
      </c>
      <c r="AG78" t="str">
        <f t="shared" si="30"/>
        <v>Rhodium</v>
      </c>
      <c r="AH78" t="str">
        <f t="shared" si="18"/>
        <v>Meitnerium</v>
      </c>
      <c r="AK78" t="str">
        <f t="shared" si="26"/>
        <v xml:space="preserve"> wurde 1804 in England durch Tennant entdeckt.</v>
      </c>
      <c r="AN78" t="str">
        <f t="shared" si="31"/>
        <v>077</v>
      </c>
      <c r="AO78" t="s">
        <v>1236</v>
      </c>
      <c r="AP78" s="87" t="str">
        <f t="shared" si="22"/>
        <v>{{Element|Ordnungszahl=77|Symbol=Ir|Name=Iridium|Atommasse=192,217|EN=2,2|BP=4500 °C|MP=2450 °C|Dichte=22,65 g/cm³|Ionenradius=66|Ivolt=865,19|Aradius=135,7</v>
      </c>
      <c r="AQ78" s="87" t="str">
        <f t="shared" si="27"/>
        <v>|Enthalpie=665.3|IVolt2=-|Wert=6|IVolt3=-|Farbe=weiß|Flamme=|Elektronenkonfiguration=[Xe] 6s2 4f14 5d7|EK-Wiki=[Xe] 6s&lt;sup&gt;2&lt;/sup&gt; 4f&lt;sup&gt;1&lt;/sup&gt;4 5d&lt;sup&gt;7&lt;/sup&gt;|pre=Osmium|next=Platin|Metall=Metall|E-Name=Iridium|L-Name=</v>
      </c>
      <c r="AR78" s="87" t="str">
        <f t="shared" si="28"/>
        <v>|Verwendung=|Wortherkunft=Iridium (griechisch ''iris'' für Regenbogen) wurde beim Auflösen eines Rohplatins in Königswasser entdeckt. Die hohe Farbkraft der Iridiumsalze inspirierte zu dem Namen Iridium.|L-Abk. bzw. redirect=#REDIRECT [[Iridium]]|radioaktiv=|hoch=Rhodium|runter=Meitnerium|Bild-Element=|Bild-Verwendung=|www= wurde 1804 in England durch Tennant entdeckt.|E-Gruppe=|Sonstiges-kurz=|OZ3=077|WL=nichda|Text= }}
[[Kategorie:Chemie]][[Kategorie:Chemikalien]]</v>
      </c>
      <c r="AS78" s="104" t="str">
        <f t="shared" si="19"/>
        <v>{{Element|Ordnungszahl=77|Symbol=Ir|Name=Iridium|Atommasse=192,217|EN=2,2|BP=4500 °C|MP=2450 °C|Dichte=22,65 g/cm³|Ionenradius=66|Ivolt=865,19|Aradius=135,7|Enthalpie=665.3|IVolt2=-|Wert=6|IVolt3=-|Farbe=weiß|Flamme=|Elektronenkonfiguration=[Xe] 6s2 4f14 5d7|EK-Wiki=[Xe] 6s&lt;sup&gt;2&lt;/sup&gt; 4f&lt;sup&gt;1&lt;/sup&gt;4 5d&lt;sup&gt;7&lt;/sup&gt;|pre=Osmium|next=Platin|Metall=Metall|E-Name=Iridium|L-Name=|Verwendung=|Wortherkunft=Iridium (griechisch ''iris'' für Regenbogen) wurde beim Auflösen eines Rohplatins in Königswasser entdeckt. Die hohe Farbkraft der Iridiumsalze inspirierte zu dem Namen Iridium.|L-Abk. bzw. redirect=#REDIRECT [[Iridium]]|radioaktiv=|hoch=Rhodium|runter=Meitnerium|Bild-Element=|Bild-Verwendung=|www= wurde 1804 in England durch Tennant entdeckt.|E-Gruppe=|Sonstiges-kurz=|OZ3=077|WL=nichda|Text= }}
[[Kategorie:Chemie]][[Kategorie:Chemikalien]]</v>
      </c>
      <c r="AT78" t="str">
        <f t="shared" si="23"/>
        <v xml:space="preserve"> wurde 1804 in England durch Tennant entdeckt. http://www.webelements.com/webelements/elements/media/element-pics/Ir.jpg</v>
      </c>
    </row>
    <row r="79" spans="1:46" ht="262.2">
      <c r="A79">
        <v>78</v>
      </c>
      <c r="B79" t="s">
        <v>371</v>
      </c>
      <c r="C79" t="s">
        <v>372</v>
      </c>
      <c r="D79">
        <v>195.084</v>
      </c>
      <c r="E79">
        <v>2.2000000000000002</v>
      </c>
      <c r="F79" t="s">
        <v>660</v>
      </c>
      <c r="G79" t="s">
        <v>661</v>
      </c>
      <c r="H79" t="s">
        <v>508</v>
      </c>
      <c r="I79">
        <v>1735</v>
      </c>
      <c r="J79" t="s">
        <v>238</v>
      </c>
      <c r="K79" t="s">
        <v>91</v>
      </c>
      <c r="L79">
        <v>70</v>
      </c>
      <c r="M79">
        <v>138</v>
      </c>
      <c r="N79" s="103">
        <v>864.39</v>
      </c>
      <c r="P79" t="s">
        <v>373</v>
      </c>
      <c r="Q79" s="103">
        <v>1791.07</v>
      </c>
      <c r="R79">
        <v>4</v>
      </c>
      <c r="S79" s="103" t="s">
        <v>1068</v>
      </c>
      <c r="T79" t="s">
        <v>1229</v>
      </c>
      <c r="V79" t="s">
        <v>848</v>
      </c>
      <c r="W79" t="s">
        <v>949</v>
      </c>
      <c r="X79" t="str">
        <f t="shared" si="29"/>
        <v>Iridium</v>
      </c>
      <c r="Y79" t="str">
        <f t="shared" si="24"/>
        <v>Gold</v>
      </c>
      <c r="Z79" t="s">
        <v>989</v>
      </c>
      <c r="AA79" s="72" t="s">
        <v>1022</v>
      </c>
      <c r="AB79" s="108"/>
      <c r="AC79" s="72"/>
      <c r="AD79" s="87" t="s">
        <v>270</v>
      </c>
      <c r="AE79" s="87" t="str">
        <f t="shared" si="25"/>
        <v>#REDIRECT [[Platin]]</v>
      </c>
      <c r="AG79" t="str">
        <f t="shared" si="30"/>
        <v>Palladium</v>
      </c>
      <c r="AH79" t="str">
        <f t="shared" si="18"/>
        <v>Darmstadtium</v>
      </c>
      <c r="AK79" t="str">
        <f t="shared" si="26"/>
        <v xml:space="preserve"> wurde 1735 in Italien durch de Ulloa entdeckt.</v>
      </c>
      <c r="AN79" t="str">
        <f t="shared" si="31"/>
        <v>078</v>
      </c>
      <c r="AO79" t="s">
        <v>1235</v>
      </c>
      <c r="AP79" s="87" t="str">
        <f t="shared" si="22"/>
        <v>{{Element|Ordnungszahl=78|Symbol=Pt|Name=Platin|Atommasse=195,084|EN=2,2|BP=3825 °C|MP=1770 °C|Dichte=21,45 g/cm³|Ionenradius=70|Ivolt=864,39|Aradius=138</v>
      </c>
      <c r="AQ79" s="87" t="str">
        <f t="shared" si="27"/>
        <v>|Enthalpie=565.3|IVolt2=1791,07|Wert=4|IVolt3=-|Farbe=silbrig-weiß|Flamme=|Elektronenkonfiguration=[Xe] 6s1 4f14 5d9|EK-Wiki=[Xe] 6s&lt;sup&gt;1&lt;/sup&gt; 4f&lt;sup&gt;1&lt;/sup&gt;4 5d&lt;sup&gt;9&lt;/sup&gt;|pre=Iridium|next=Gold|Metall=Metall|E-Name=Platinum|L-Name=</v>
      </c>
      <c r="AR79" s="87" t="str">
        <f t="shared" si="28"/>
        <v>|Verwendung=|Wortherkunft=Platin wurde von den Indianern Südamerikas benutzt. Der Name leitet sich vom spanischen Wort ''platina'', der Kleinerungsform von ''plata'' "Silber", ab.|L-Abk. bzw. redirect=#REDIRECT [[Platin]]|radioaktiv=|hoch=Palladium|runter=Darmstadtium|Bild-Element=|Bild-Verwendung=|www= wurde 1735 in Italien durch de Ulloa entdeckt.|E-Gruppe=|Sonstiges-kurz=|OZ3=078|WL=Sammlung|Text= }}
[[Kategorie:Chemie]][[Kategorie:Chemikalien]]</v>
      </c>
      <c r="AS79" s="104" t="str">
        <f t="shared" si="19"/>
        <v>{{Element|Ordnungszahl=78|Symbol=Pt|Name=Platin|Atommasse=195,084|EN=2,2|BP=3825 °C|MP=1770 °C|Dichte=21,45 g/cm³|Ionenradius=70|Ivolt=864,39|Aradius=138|Enthalpie=565.3|IVolt2=1791,07|Wert=4|IVolt3=-|Farbe=silbrig-weiß|Flamme=|Elektronenkonfiguration=[Xe] 6s1 4f14 5d9|EK-Wiki=[Xe] 6s&lt;sup&gt;1&lt;/sup&gt; 4f&lt;sup&gt;1&lt;/sup&gt;4 5d&lt;sup&gt;9&lt;/sup&gt;|pre=Iridium|next=Gold|Metall=Metall|E-Name=Platinum|L-Name=|Verwendung=|Wortherkunft=Platin wurde von den Indianern Südamerikas benutzt. Der Name leitet sich vom spanischen Wort ''platina'', der Kleinerungsform von ''plata'' "Silber", ab.|L-Abk. bzw. redirect=#REDIRECT [[Platin]]|radioaktiv=|hoch=Palladium|runter=Darmstadtium|Bild-Element=|Bild-Verwendung=|www= wurde 1735 in Italien durch de Ulloa entdeckt.|E-Gruppe=|Sonstiges-kurz=|OZ3=078|WL=Sammlung|Text= }}
[[Kategorie:Chemie]][[Kategorie:Chemikalien]]</v>
      </c>
      <c r="AT79" t="str">
        <f t="shared" si="23"/>
        <v xml:space="preserve"> wurde 1735 in Italien durch de Ulloa entdeckt. http://www.webelements.com/webelements/elements/media/element-pics/Pt.jpg</v>
      </c>
    </row>
    <row r="80" spans="1:46" ht="317.39999999999998">
      <c r="A80">
        <v>79</v>
      </c>
      <c r="B80" t="s">
        <v>374</v>
      </c>
      <c r="C80" t="s">
        <v>375</v>
      </c>
      <c r="D80">
        <v>196.96655000000001</v>
      </c>
      <c r="E80">
        <v>2.4</v>
      </c>
      <c r="F80" t="s">
        <v>662</v>
      </c>
      <c r="G80" t="s">
        <v>663</v>
      </c>
      <c r="H80" t="s">
        <v>509</v>
      </c>
      <c r="I80" t="s">
        <v>992</v>
      </c>
      <c r="L80">
        <v>91</v>
      </c>
      <c r="M80">
        <v>144.19999999999999</v>
      </c>
      <c r="N80" s="103">
        <v>890.13</v>
      </c>
      <c r="P80" t="s">
        <v>376</v>
      </c>
      <c r="Q80" s="103">
        <v>1977.96</v>
      </c>
      <c r="R80">
        <v>3</v>
      </c>
      <c r="S80" s="103" t="s">
        <v>1068</v>
      </c>
      <c r="T80" t="s">
        <v>1105</v>
      </c>
      <c r="V80" t="s">
        <v>849</v>
      </c>
      <c r="W80" t="s">
        <v>950</v>
      </c>
      <c r="X80" t="str">
        <f t="shared" si="29"/>
        <v>Platin</v>
      </c>
      <c r="Y80" t="str">
        <f t="shared" si="24"/>
        <v>Quecksilber</v>
      </c>
      <c r="Z80" t="s">
        <v>989</v>
      </c>
      <c r="AA80" s="72" t="s">
        <v>375</v>
      </c>
      <c r="AB80" s="108" t="s">
        <v>1156</v>
      </c>
      <c r="AC80" s="72"/>
      <c r="AD80" s="87" t="s">
        <v>1206</v>
      </c>
      <c r="AE80" s="87" t="str">
        <f>CONCATENATE("&lt;b&gt;{{PAGENAME}}&lt;/b&gt; ist das chemische Symbol für das [[PSE|Element]] &lt;b&gt;&amp;rarr; [[",C80,"]]&lt;/b&gt;, von lateinisch ",AB80,".
[[Kategorie:Chemie]][[Kategorie:Chemikalien]]")</f>
        <v>&lt;b&gt;{{PAGENAME}}&lt;/b&gt; ist das chemische Symbol für das [[PSE|Element]] &lt;b&gt;&amp;rarr; [[Gold]]&lt;/b&gt;, von lateinisch &lt;b&gt;&lt;i&gt;Au&lt;/b&gt;rum&lt;/i&gt;.
[[Kategorie:Chemie]][[Kategorie:Chemikalien]]</v>
      </c>
      <c r="AG80" t="s">
        <v>103</v>
      </c>
      <c r="AH80" t="str">
        <f t="shared" si="18"/>
        <v>Roentgenium</v>
      </c>
      <c r="AK80" t="s">
        <v>1159</v>
      </c>
      <c r="AN80" t="str">
        <f t="shared" si="31"/>
        <v>079</v>
      </c>
      <c r="AO80" t="s">
        <v>1235</v>
      </c>
      <c r="AP80" s="87" t="str">
        <f t="shared" si="22"/>
        <v>{{Element|Ordnungszahl=79|Symbol=Au|Name=Gold|Atommasse=196,96655|EN=2,4|BP=2970 °C|MP=1063 °C|Dichte=19,32 g/cm³|Ionenradius=91|Ivolt=890,13|Aradius=144,2</v>
      </c>
      <c r="AQ80" s="87" t="str">
        <f t="shared" si="27"/>
        <v>|Enthalpie=366.1|IVolt2=1977,96|Wert=3|IVolt3=-|Farbe=gelb|Flamme=|Elektronenkonfiguration=[Xe] 6s1 4f14 5d10|EK-Wiki=[Xe] 6s&lt;sup&gt;1&lt;/sup&gt; 4f&lt;sup&gt;1&lt;/sup&gt;4 5d&lt;sup&gt;10&lt;/sup&gt;|pre=Platin|next=Quecksilber|Metall=Metall|E-Name=Gold|L-Name=&lt;b&gt;&lt;i&gt;Au&lt;/b&gt;rum&lt;/i&gt;</v>
      </c>
      <c r="AR80" s="87" t="str">
        <f t="shared" si="28"/>
        <v>|Verwendung=|Wortherkunft=Gold (von indogermanisch ''ghel'': glänzend, (gelb) ) ist ein chemisches Element und ein so genanntes Edelmetall, das chemische Kürzel Au für Gold ist auf die lateinische Bezeichnung ''Aurum'' zurückzuführen.|L-Abk. bzw. redirect=&lt;b&gt;{{PAGENAME}}&lt;/b&gt; ist das chemische Symbol für das [[PSE|Element]] &lt;b&gt;&amp;rarr; [[Gold]]&lt;/b&gt;, von lateinisch &lt;b&gt;&lt;i&gt;Au&lt;/b&gt;rum&lt;/i&gt;.
[[Kategorie:Chemie]][[Kategorie:Chemikalien]]|radioaktiv=|hoch=Silber|runter=Roentgenium|Bild-Element=|Bild-Verwendung=|www= ist seit dem Altertum bekannt.|E-Gruppe=|Sonstiges-kurz=|OZ3=079|WL=Sammlung|Text= }}
[[Kategorie:Chemie]][[Kategorie:Chemikalien]]</v>
      </c>
      <c r="AS80" s="104" t="str">
        <f t="shared" si="19"/>
        <v>{{Element|Ordnungszahl=79|Symbol=Au|Name=Gold|Atommasse=196,96655|EN=2,4|BP=2970 °C|MP=1063 °C|Dichte=19,32 g/cm³|Ionenradius=91|Ivolt=890,13|Aradius=144,2|Enthalpie=366.1|IVolt2=1977,96|Wert=3|IVolt3=-|Farbe=gelb|Flamme=|Elektronenkonfiguration=[Xe] 6s1 4f14 5d10|EK-Wiki=[Xe] 6s&lt;sup&gt;1&lt;/sup&gt; 4f&lt;sup&gt;1&lt;/sup&gt;4 5d&lt;sup&gt;10&lt;/sup&gt;|pre=Platin|next=Quecksilber|Metall=Metall|E-Name=Gold|L-Name=&lt;b&gt;&lt;i&gt;Au&lt;/b&gt;rum&lt;/i&gt;|Verwendung=|Wortherkunft=Gold (von indogermanisch ''ghel'': glänzend, (gelb) ) ist ein chemisches Element und ein so genanntes Edelmetall, das chemische Kürzel Au für Gold ist auf die lateinische Bezeichnung ''Aurum'' zurückzuführen.|L-Abk. bzw. redirect=&lt;b&gt;{{PAGENAME}}&lt;/b&gt; ist das chemische Symbol für das [[PSE|Element]] &lt;b&gt;&amp;rarr; [[Gold]]&lt;/b&gt;, von lateinisch &lt;b&gt;&lt;i&gt;Au&lt;/b&gt;rum&lt;/i&gt;.
[[Kategorie:Chemie]][[Kategorie:Chemikalien]]|radioaktiv=|hoch=Silber|runter=Roentgenium|Bild-Element=|Bild-Verwendung=|www= ist seit dem Altertum bekannt.|E-Gruppe=|Sonstiges-kurz=|OZ3=079|WL=Sammlung|Text= }}
[[Kategorie:Chemie]][[Kategorie:Chemikalien]]</v>
      </c>
      <c r="AT80" t="str">
        <f t="shared" si="23"/>
        <v xml:space="preserve"> ist seit dem Altertum bekannt. http://www.webelements.com/webelements/elements/media/element-pics/Au.jpg</v>
      </c>
    </row>
    <row r="81" spans="1:46" ht="345">
      <c r="A81">
        <v>80</v>
      </c>
      <c r="B81" t="s">
        <v>377</v>
      </c>
      <c r="C81" t="s">
        <v>378</v>
      </c>
      <c r="D81">
        <v>200.59</v>
      </c>
      <c r="E81">
        <v>1.9</v>
      </c>
      <c r="F81" t="s">
        <v>664</v>
      </c>
      <c r="G81" t="s">
        <v>665</v>
      </c>
      <c r="H81" t="s">
        <v>510</v>
      </c>
      <c r="I81" t="s">
        <v>992</v>
      </c>
      <c r="L81">
        <v>112</v>
      </c>
      <c r="M81">
        <v>160</v>
      </c>
      <c r="N81" s="103">
        <v>1007.07</v>
      </c>
      <c r="P81" t="s">
        <v>379</v>
      </c>
      <c r="Q81" s="103">
        <v>1809.69</v>
      </c>
      <c r="R81">
        <v>4</v>
      </c>
      <c r="S81" s="103">
        <v>3299.82</v>
      </c>
      <c r="T81" t="s">
        <v>1227</v>
      </c>
      <c r="V81" t="s">
        <v>850</v>
      </c>
      <c r="W81" t="s">
        <v>951</v>
      </c>
      <c r="X81" t="str">
        <f t="shared" si="29"/>
        <v>Gold</v>
      </c>
      <c r="Y81" t="str">
        <f t="shared" si="24"/>
        <v>Thallium</v>
      </c>
      <c r="Z81" t="s">
        <v>989</v>
      </c>
      <c r="AA81" s="72" t="s">
        <v>137</v>
      </c>
      <c r="AB81" s="108" t="s">
        <v>1157</v>
      </c>
      <c r="AC81" s="72"/>
      <c r="AD81" s="87" t="s">
        <v>1239</v>
      </c>
      <c r="AE81" s="87" t="str">
        <f>CONCATENATE("&lt;b&gt;{{PAGENAME}}&lt;/b&gt; ist das chemische Symbol für das [[PSE|Element]] &lt;b&gt;&amp;rarr; [[",C81,"]]&lt;/b&gt;, von lat./griech. ",AB81,".
[[Kategorie:Chemie]][[Kategorie:Chemikalien]]")</f>
        <v>&lt;b&gt;{{PAGENAME}}&lt;/b&gt; ist das chemische Symbol für das [[PSE|Element]] &lt;b&gt;&amp;rarr; [[Quecksilber]]&lt;/b&gt;, von lat./griech. &lt;b&gt;&lt;i&gt;H&lt;/b&gt;ydrar&lt;/b&gt;g&lt;/b&gt;yrum&lt;/i&gt;.
[[Kategorie:Chemie]][[Kategorie:Chemikalien]]</v>
      </c>
      <c r="AG81" t="s">
        <v>106</v>
      </c>
      <c r="AH81" t="str">
        <f t="shared" si="18"/>
        <v>Copernicium</v>
      </c>
      <c r="AK81" t="s">
        <v>1159</v>
      </c>
      <c r="AN81" t="str">
        <f t="shared" si="31"/>
        <v>080</v>
      </c>
      <c r="AO81" t="s">
        <v>1235</v>
      </c>
      <c r="AP81" s="87" t="str">
        <f t="shared" si="22"/>
        <v>{{Element|Ordnungszahl=80|Symbol=Hg|Name=Quecksilber|Atommasse=200,59|EN=1,9|BP=357 °C|MP=-39 °C|Dichte=13,55 g/cm³|Ionenradius=112|Ivolt=1007,07|Aradius=160</v>
      </c>
      <c r="AQ81" s="87" t="str">
        <f t="shared" si="27"/>
        <v>|Enthalpie=61.3|IVolt2=1809,69|Wert=4|IVolt3=3299,82|Farbe=silbrig|Flamme=|Elektronenkonfiguration=[Xe] 6s2 4f14 5d10|EK-Wiki=[Xe] 6s&lt;sup&gt;2&lt;/sup&gt; 4f&lt;sup&gt;1&lt;/sup&gt;4 5d&lt;sup&gt;10&lt;/sup&gt;|pre=Gold|next=Thallium|Metall=Metall|E-Name=Mercury|L-Name=&lt;b&gt;&lt;i&gt;H&lt;/b&gt;ydrar&lt;/b&gt;g&lt;/b&gt;yrum&lt;/i&gt;</v>
      </c>
      <c r="AR81" s="87" t="str">
        <f t="shared" si="28"/>
        <v>|Verwendung=|Wortherkunft=Quecksilber bedeutet ursprünglich "lebendiges Silber" (althochdeutsch ''quecsilbar'' zu Germanische Sprachen|germanisch ''kwikw'' = ''lebendig''). Aufgrund seiner hohen Oberflächenspannung benetzt Quecksilber seine Unterlage nicht, sondern bildet abgeplattete einzelne Tröpfchen (Kohäsion). Das chemische Symbol des Quecksilbers ist '''Hg'''. Das ist die Abkürzung für ''hydrargyrum'', zusammengesetzt aus der Vorsilbe ''hydr-'' und ''argyron = Silber'', was aus dem Griechischen mit "flüssiges Silber" übersetzt werden kann.|L-Abk. bzw. redirect=&lt;b&gt;{{PAGENAME}}&lt;/b&gt; ist das chemische Symbol für das [[PSE|Element]] &lt;b&gt;&amp;rarr; [[Quecksilber]]&lt;/b&gt;, von lat./griech. &lt;b&gt;&lt;i&gt;H&lt;/b&gt;ydrar&lt;/b&gt;g&lt;/b&gt;yrum&lt;/i&gt;.
[[Kategorie:Chemie]][[Kategorie:Chemikalien]]|radioaktiv=|hoch=Cadmium|runter=Copernicium|Bild-Element=|Bild-Verwendung=|www= ist seit dem Altertum bekannt.|E-Gruppe=|Sonstiges-kurz=|OZ3=080|WL=Sammlung|Text= }}
[[Kategorie:Chemie]][[Kategorie:Chemikalien]]</v>
      </c>
      <c r="AS81" s="104" t="str">
        <f t="shared" si="19"/>
        <v>{{Element|Ordnungszahl=80|Symbol=Hg|Name=Quecksilber|Atommasse=200,59|EN=1,9|BP=357 °C|MP=-39 °C|Dichte=13,55 g/cm³|Ionenradius=112|Ivolt=1007,07|Aradius=160|Enthalpie=61.3|IVolt2=1809,69|Wert=4|IVolt3=3299,82|Farbe=silbrig|Flamme=|Elektronenkonfiguration=[Xe] 6s2 4f14 5d10|EK-Wiki=[Xe] 6s&lt;sup&gt;2&lt;/sup&gt; 4f&lt;sup&gt;1&lt;/sup&gt;4 5d&lt;sup&gt;10&lt;/sup&gt;|pre=Gold|next=Thallium|Metall=Metall|E-Name=Mercury|L-Name=&lt;b&gt;&lt;i&gt;H&lt;/b&gt;ydrar&lt;/b&gt;g&lt;/b&gt;yrum&lt;/i&gt;|Verwendung=|Wortherkunft=Quecksilber bedeutet ursprünglich "lebendiges Silber" (althochdeutsch ''quecsilbar'' zu Germanische Sprachen|germanisch ''kwikw'' = ''lebendig''). Aufgrund seiner hohen Oberflächenspannung benetzt Quecksilber seine Unterlage nicht, sondern bildet abgeplattete einzelne Tröpfchen (Kohäsion). Das chemische Symbol des Quecksilbers ist '''Hg'''. Das ist die Abkürzung für ''hydrargyrum'', zusammengesetzt aus der Vorsilbe ''hydr-'' und ''argyron = Silber'', was aus dem Griechischen mit "flüssiges Silber" übersetzt werden kann.|L-Abk. bzw. redirect=&lt;b&gt;{{PAGENAME}}&lt;/b&gt; ist das chemische Symbol für das [[PSE|Element]] &lt;b&gt;&amp;rarr; [[Quecksilber]]&lt;/b&gt;, von lat./griech. &lt;b&gt;&lt;i&gt;H&lt;/b&gt;ydrar&lt;/b&gt;g&lt;/b&gt;yrum&lt;/i&gt;.
[[Kategorie:Chemie]][[Kategorie:Chemikalien]]|radioaktiv=|hoch=Cadmium|runter=Copernicium|Bild-Element=|Bild-Verwendung=|www= ist seit dem Altertum bekannt.|E-Gruppe=|Sonstiges-kurz=|OZ3=080|WL=Sammlung|Text= }}
[[Kategorie:Chemie]][[Kategorie:Chemikalien]]</v>
      </c>
      <c r="AT81" t="str">
        <f t="shared" si="23"/>
        <v xml:space="preserve"> ist seit dem Altertum bekannt. http://www.webelements.com/webelements/elements/media/element-pics/Hg.jpg</v>
      </c>
    </row>
    <row r="82" spans="1:46" ht="303.60000000000002">
      <c r="A82">
        <v>81</v>
      </c>
      <c r="B82" t="s">
        <v>380</v>
      </c>
      <c r="C82" t="s">
        <v>381</v>
      </c>
      <c r="D82">
        <v>204.38329999999999</v>
      </c>
      <c r="E82">
        <v>1.8</v>
      </c>
      <c r="F82" t="s">
        <v>646</v>
      </c>
      <c r="G82" t="s">
        <v>666</v>
      </c>
      <c r="H82" t="s">
        <v>511</v>
      </c>
      <c r="I82">
        <v>1861</v>
      </c>
      <c r="J82" t="s">
        <v>239</v>
      </c>
      <c r="K82" t="s">
        <v>1067</v>
      </c>
      <c r="L82">
        <v>105</v>
      </c>
      <c r="M82">
        <v>170.4</v>
      </c>
      <c r="N82" s="103">
        <v>589.36</v>
      </c>
      <c r="P82" t="s">
        <v>382</v>
      </c>
      <c r="Q82" s="103">
        <v>1971.02</v>
      </c>
      <c r="R82">
        <v>6</v>
      </c>
      <c r="S82" s="103">
        <v>2878.18</v>
      </c>
      <c r="T82" t="s">
        <v>367</v>
      </c>
      <c r="U82" t="s">
        <v>383</v>
      </c>
      <c r="V82" t="s">
        <v>866</v>
      </c>
      <c r="W82" t="s">
        <v>952</v>
      </c>
      <c r="X82" t="str">
        <f t="shared" si="29"/>
        <v>Quecksilber</v>
      </c>
      <c r="Y82" t="str">
        <f t="shared" si="24"/>
        <v>Blei</v>
      </c>
      <c r="Z82" t="s">
        <v>989</v>
      </c>
      <c r="AA82" s="72" t="s">
        <v>381</v>
      </c>
      <c r="AB82" s="108"/>
      <c r="AC82" s="72"/>
      <c r="AD82" s="87" t="s">
        <v>271</v>
      </c>
      <c r="AE82" s="87" t="str">
        <f>CONCATENATE("#REDIRECT [[",C82,"]]")</f>
        <v>#REDIRECT [[Thallium]]</v>
      </c>
      <c r="AG82" t="str">
        <f>C50</f>
        <v>Indium</v>
      </c>
      <c r="AH82" t="str">
        <f t="shared" si="18"/>
        <v xml:space="preserve">Ununtrium </v>
      </c>
      <c r="AK82" t="str">
        <f t="shared" si="26"/>
        <v xml:space="preserve"> wurde 1861 in England durch Crokes entdeckt.</v>
      </c>
      <c r="AN82" t="str">
        <f t="shared" si="31"/>
        <v>081</v>
      </c>
      <c r="AO82" t="s">
        <v>1236</v>
      </c>
      <c r="AP82" s="87" t="str">
        <f t="shared" si="22"/>
        <v>{{Element|Ordnungszahl=81|Symbol=Tl|Name=Thallium|Atommasse=204,3833|EN=1,8|BP=1460 °C|MP=303 °C|Dichte=11,85 g/cm³|Ionenradius=105|Ivolt=589,36|Aradius=170,4</v>
      </c>
      <c r="AQ82" s="87" t="str">
        <f t="shared" si="27"/>
        <v>|Enthalpie=182.2|IVolt2=1971,02|Wert=6|IVolt3=2878,18|Farbe=blau-grau|Flamme=grün|Elektronenkonfiguration=[Xe] 6s2 4f14 5d10 6p1|EK-Wiki=[Xe] 6s&lt;sup&gt;2&lt;/sup&gt; 4f&lt;sup&gt;1&lt;/sup&gt;4 5d&lt;sup&gt;10&lt;/sup&gt; 6p&lt;sup&gt;1&lt;/sup&gt;|pre=Quecksilber|next=Blei|Metall=Metall|E-Name=Thallium|L-Name=</v>
      </c>
      <c r="AR82" s="87" t="str">
        <f t="shared" si="28"/>
        <v>|Verwendung=|Wortherkunft=Thallium (griech. grüner Trieb oder grüner Spross, wegen seiner grünen Flammenfärbung) wurde spektroskopisch im Bleikammerschlamm einer Schwefelsäurefabrik anhand der charakteristischen grünen Spektrallinie entdeckt.|L-Abk. bzw. redirect=#REDIRECT [[Thallium]]|radioaktiv=|hoch=Indium|runter=Ununtrium |Bild-Element=|Bild-Verwendung=|www= wurde 1861 in England durch Crokes entdeckt.|E-Gruppe=|Sonstiges-kurz=|OZ3=081|WL=nichda|Text= }}
[[Kategorie:Chemie]][[Kategorie:Chemikalien]]</v>
      </c>
      <c r="AS82" s="104" t="str">
        <f t="shared" si="19"/>
        <v>{{Element|Ordnungszahl=81|Symbol=Tl|Name=Thallium|Atommasse=204,3833|EN=1,8|BP=1460 °C|MP=303 °C|Dichte=11,85 g/cm³|Ionenradius=105|Ivolt=589,36|Aradius=170,4|Enthalpie=182.2|IVolt2=1971,02|Wert=6|IVolt3=2878,18|Farbe=blau-grau|Flamme=grün|Elektronenkonfiguration=[Xe] 6s2 4f14 5d10 6p1|EK-Wiki=[Xe] 6s&lt;sup&gt;2&lt;/sup&gt; 4f&lt;sup&gt;1&lt;/sup&gt;4 5d&lt;sup&gt;10&lt;/sup&gt; 6p&lt;sup&gt;1&lt;/sup&gt;|pre=Quecksilber|next=Blei|Metall=Metall|E-Name=Thallium|L-Name=|Verwendung=|Wortherkunft=Thallium (griech. grüner Trieb oder grüner Spross, wegen seiner grünen Flammenfärbung) wurde spektroskopisch im Bleikammerschlamm einer Schwefelsäurefabrik anhand der charakteristischen grünen Spektrallinie entdeckt.|L-Abk. bzw. redirect=#REDIRECT [[Thallium]]|radioaktiv=|hoch=Indium|runter=Ununtrium |Bild-Element=|Bild-Verwendung=|www= wurde 1861 in England durch Crokes entdeckt.|E-Gruppe=|Sonstiges-kurz=|OZ3=081|WL=nichda|Text= }}
[[Kategorie:Chemie]][[Kategorie:Chemikalien]]</v>
      </c>
      <c r="AT82" t="str">
        <f t="shared" si="23"/>
        <v xml:space="preserve"> wurde 1861 in England durch Crokes entdeckt. http://www.webelements.com/webelements/elements/media/element-pics/Tl.jpg</v>
      </c>
    </row>
    <row r="83" spans="1:46" ht="317.39999999999998">
      <c r="A83">
        <v>82</v>
      </c>
      <c r="B83" t="s">
        <v>384</v>
      </c>
      <c r="C83" t="s">
        <v>385</v>
      </c>
      <c r="D83">
        <v>207.2</v>
      </c>
      <c r="E83">
        <v>1.8</v>
      </c>
      <c r="F83" t="s">
        <v>667</v>
      </c>
      <c r="G83" t="s">
        <v>668</v>
      </c>
      <c r="H83" t="s">
        <v>512</v>
      </c>
      <c r="I83" t="s">
        <v>992</v>
      </c>
      <c r="L83">
        <v>84</v>
      </c>
      <c r="M83">
        <v>175</v>
      </c>
      <c r="N83" s="103">
        <v>715.6</v>
      </c>
      <c r="P83">
        <v>195</v>
      </c>
      <c r="Q83" s="103">
        <v>1450.4</v>
      </c>
      <c r="R83">
        <v>8</v>
      </c>
      <c r="S83" s="103">
        <v>3081.5</v>
      </c>
      <c r="T83" t="s">
        <v>52</v>
      </c>
      <c r="V83" t="s">
        <v>867</v>
      </c>
      <c r="W83" t="s">
        <v>953</v>
      </c>
      <c r="X83" t="str">
        <f t="shared" si="29"/>
        <v>Thallium</v>
      </c>
      <c r="Y83" t="str">
        <f t="shared" si="24"/>
        <v>Bismut</v>
      </c>
      <c r="Z83" t="s">
        <v>989</v>
      </c>
      <c r="AA83" s="72" t="s">
        <v>138</v>
      </c>
      <c r="AB83" s="108" t="s">
        <v>1158</v>
      </c>
      <c r="AC83" s="72"/>
      <c r="AD83" s="87" t="s">
        <v>1245</v>
      </c>
      <c r="AE83" s="87" t="str">
        <f>CONCATENATE("&lt;b&gt;{{PAGENAME}}&lt;/b&gt; ist das chemische Symbol für das [[PSE|Element]] &lt;b&gt;&amp;rarr; [[",C83,"]]&lt;/b&gt;, von lateinisch ",AB83,".
[[Kategorie:Chemie]][[Kategorie:Chemikalien]]")</f>
        <v>&lt;b&gt;{{PAGENAME}}&lt;/b&gt; ist das chemische Symbol für das [[PSE|Element]] &lt;b&gt;&amp;rarr; [[Blei]]&lt;/b&gt;, von lateinisch &lt;b&gt;&lt;i&gt;P&lt;/b&gt;lum&lt;/b&gt;b&lt;/b&gt;um&lt;/i&gt;.
[[Kategorie:Chemie]][[Kategorie:Chemikalien]]</v>
      </c>
      <c r="AG83" t="s">
        <v>112</v>
      </c>
      <c r="AH83" t="str">
        <f t="shared" si="18"/>
        <v>Flerovium</v>
      </c>
      <c r="AK83" t="s">
        <v>1159</v>
      </c>
      <c r="AN83" t="str">
        <f t="shared" si="31"/>
        <v>082</v>
      </c>
      <c r="AO83" t="s">
        <v>1235</v>
      </c>
      <c r="AP83" s="87" t="str">
        <f t="shared" si="22"/>
        <v>{{Element|Ordnungszahl=82|Symbol=Pb|Name=Blei|Atommasse=207,2|EN=1,8|BP=1740 °C|MP=327 °C|Dichte=11,34 g/cm³|Ionenradius=84|Ivolt=715,6|Aradius=175</v>
      </c>
      <c r="AQ83" s="87" t="str">
        <f t="shared" si="27"/>
        <v>|Enthalpie=195|IVolt2=1450,4|Wert=8|IVolt3=3081,5|Farbe=blau-weiß|Flamme=|Elektronenkonfiguration=[Xe] 6s2 4f14 5d10 6p2|EK-Wiki=[Xe] 6s&lt;sup&gt;2&lt;/sup&gt; 4f&lt;sup&gt;1&lt;/sup&gt;4 5d&lt;sup&gt;10&lt;/sup&gt; 6p&lt;sup&gt;2&lt;/sup&gt;|pre=Thallium|next=Bismut|Metall=Metall|E-Name=Lead|L-Name=&lt;b&gt;&lt;i&gt;P&lt;/b&gt;lum&lt;/b&gt;b&lt;/b&gt;um&lt;/i&gt;</v>
      </c>
      <c r="AR83" s="87" t="str">
        <f t="shared" si="28"/>
        <v>|Verwendung=|Wortherkunft=Blei (lat. plumbum, von plumbeus: bleiern, stumpf, bleischwer) ist ein chemisches Element. Chemisches Symbol: Pb. Der Name Blei ist indogermanischen Ursprungs und bedeutet soviel wie schimmernd, leuchtend oder glänzend. |L-Abk. bzw. redirect=&lt;b&gt;{{PAGENAME}}&lt;/b&gt; ist das chemische Symbol für das [[PSE|Element]] &lt;b&gt;&amp;rarr; [[Blei]]&lt;/b&gt;, von lateinisch &lt;b&gt;&lt;i&gt;P&lt;/b&gt;lum&lt;/b&gt;b&lt;/b&gt;um&lt;/i&gt;.
[[Kategorie:Chemie]][[Kategorie:Chemikalien]]|radioaktiv=|hoch=Zinn|runter=Flerovium|Bild-Element=|Bild-Verwendung=|www= ist seit dem Altertum bekannt.|E-Gruppe=|Sonstiges-kurz=|OZ3=082|WL=Sammlung|Text= }}
[[Kategorie:Chemie]][[Kategorie:Chemikalien]]</v>
      </c>
      <c r="AS83" s="104" t="str">
        <f t="shared" si="19"/>
        <v>{{Element|Ordnungszahl=82|Symbol=Pb|Name=Blei|Atommasse=207,2|EN=1,8|BP=1740 °C|MP=327 °C|Dichte=11,34 g/cm³|Ionenradius=84|Ivolt=715,6|Aradius=175|Enthalpie=195|IVolt2=1450,4|Wert=8|IVolt3=3081,5|Farbe=blau-weiß|Flamme=|Elektronenkonfiguration=[Xe] 6s2 4f14 5d10 6p2|EK-Wiki=[Xe] 6s&lt;sup&gt;2&lt;/sup&gt; 4f&lt;sup&gt;1&lt;/sup&gt;4 5d&lt;sup&gt;10&lt;/sup&gt; 6p&lt;sup&gt;2&lt;/sup&gt;|pre=Thallium|next=Bismut|Metall=Metall|E-Name=Lead|L-Name=&lt;b&gt;&lt;i&gt;P&lt;/b&gt;lum&lt;/b&gt;b&lt;/b&gt;um&lt;/i&gt;|Verwendung=|Wortherkunft=Blei (lat. plumbum, von plumbeus: bleiern, stumpf, bleischwer) ist ein chemisches Element. Chemisches Symbol: Pb. Der Name Blei ist indogermanischen Ursprungs und bedeutet soviel wie schimmernd, leuchtend oder glänzend. |L-Abk. bzw. redirect=&lt;b&gt;{{PAGENAME}}&lt;/b&gt; ist das chemische Symbol für das [[PSE|Element]] &lt;b&gt;&amp;rarr; [[Blei]]&lt;/b&gt;, von lateinisch &lt;b&gt;&lt;i&gt;P&lt;/b&gt;lum&lt;/b&gt;b&lt;/b&gt;um&lt;/i&gt;.
[[Kategorie:Chemie]][[Kategorie:Chemikalien]]|radioaktiv=|hoch=Zinn|runter=Flerovium|Bild-Element=|Bild-Verwendung=|www= ist seit dem Altertum bekannt.|E-Gruppe=|Sonstiges-kurz=|OZ3=082|WL=Sammlung|Text= }}
[[Kategorie:Chemie]][[Kategorie:Chemikalien]]</v>
      </c>
      <c r="AT83" t="str">
        <f t="shared" si="23"/>
        <v xml:space="preserve"> ist seit dem Altertum bekannt. http://www.webelements.com/webelements/elements/media/element-pics/Pb.jpg</v>
      </c>
    </row>
    <row r="84" spans="1:46" ht="331.2">
      <c r="A84">
        <v>83</v>
      </c>
      <c r="B84" t="s">
        <v>386</v>
      </c>
      <c r="C84" t="s">
        <v>387</v>
      </c>
      <c r="D84">
        <v>208.98038</v>
      </c>
      <c r="E84">
        <v>1.9</v>
      </c>
      <c r="F84" t="s">
        <v>669</v>
      </c>
      <c r="G84" t="s">
        <v>670</v>
      </c>
      <c r="H84" t="s">
        <v>513</v>
      </c>
      <c r="K84" t="s">
        <v>1120</v>
      </c>
      <c r="L84">
        <v>74</v>
      </c>
      <c r="M84">
        <v>155</v>
      </c>
      <c r="N84" s="103">
        <v>702.96</v>
      </c>
      <c r="P84" t="s">
        <v>388</v>
      </c>
      <c r="Q84" s="103">
        <v>1610.35</v>
      </c>
      <c r="R84">
        <v>7</v>
      </c>
      <c r="S84" s="103">
        <v>2466.1799999999998</v>
      </c>
      <c r="T84" t="s">
        <v>389</v>
      </c>
      <c r="V84" t="s">
        <v>868</v>
      </c>
      <c r="W84" t="s">
        <v>954</v>
      </c>
      <c r="X84" t="str">
        <f t="shared" si="29"/>
        <v>Blei</v>
      </c>
      <c r="Y84" t="str">
        <f t="shared" si="24"/>
        <v>Polonium</v>
      </c>
      <c r="Z84" t="s">
        <v>989</v>
      </c>
      <c r="AA84" s="72" t="s">
        <v>1027</v>
      </c>
      <c r="AB84" s="108"/>
      <c r="AC84" s="72"/>
      <c r="AD84" s="87" t="s">
        <v>1207</v>
      </c>
      <c r="AE84" s="87" t="str">
        <f t="shared" ref="AE84:AE107" si="32">CONCATENATE("#REDIRECT [[",C84,"]]")</f>
        <v>#REDIRECT [[Bismut]]</v>
      </c>
      <c r="AG84" t="s">
        <v>115</v>
      </c>
      <c r="AH84" t="str">
        <f t="shared" si="18"/>
        <v>Ununpentium</v>
      </c>
      <c r="AK84" t="str">
        <f t="shared" si="26"/>
        <v xml:space="preserve"> wurde  in Deutschland durch  entdeckt.</v>
      </c>
      <c r="AN84" t="str">
        <f t="shared" si="31"/>
        <v>083</v>
      </c>
      <c r="AO84" t="s">
        <v>1235</v>
      </c>
      <c r="AP84" s="87" t="str">
        <f t="shared" si="22"/>
        <v>{{Element|Ordnungszahl=83|Symbol=Bi|Name=Bismut|Atommasse=208,98038|EN=1,9|BP=1560 °C|MP=271 °C|Dichte=9,80 g/cm³|Ionenradius=74|Ivolt=702,96|Aradius=155</v>
      </c>
      <c r="AQ84" s="87" t="str">
        <f t="shared" si="27"/>
        <v>|Enthalpie=207.1|IVolt2=1610,35|Wert=7|IVolt3=2466,18|Farbe=weiß-rosa|Flamme=|Elektronenkonfiguration=[Xe] 6s2 4f14 5d10 6p3|EK-Wiki=[Xe] 6s&lt;sup&gt;2&lt;/sup&gt; 4f&lt;sup&gt;1&lt;/sup&gt;4 5d&lt;sup&gt;10&lt;/sup&gt; 6p&lt;sup&gt;3&lt;/sup&gt;|pre=Blei|next=Polonium|Metall=Metall|E-Name=Bismuth|L-Name=</v>
      </c>
      <c r="AR84" s="87" t="str">
        <f t="shared" si="28"/>
        <v>|Verwendung=|Wortherkunft=Das Element Bismut kennt man wahrscheinlich schon seit der Antike. Der Name ''Wismut'' ist seit 1472 bekannt und geht vermutlich auf den ersten Ort der Gewinnung "in den Wiesen" am Schneeberg im Erzgebirge zurück. Es gibt jedoch auch andere Etymologien, beispielsweise von "weiß". Georgius Agricola benutzte die latinisierte Bezeichnung ''bismutum'', worauf der heutige Name zurückgeht.|L-Abk. bzw. redirect=#REDIRECT [[Bismut]]|radioaktiv=|hoch=Antimon|runter=Ununpentium|Bild-Element=|Bild-Verwendung=|www= wurde  in Deutschland durch  entdeckt.|E-Gruppe=|Sonstiges-kurz=|OZ3=083|WL=Sammlung|Text= }}
[[Kategorie:Chemie]][[Kategorie:Chemikalien]]</v>
      </c>
      <c r="AS84" s="104" t="str">
        <f t="shared" si="19"/>
        <v>{{Element|Ordnungszahl=83|Symbol=Bi|Name=Bismut|Atommasse=208,98038|EN=1,9|BP=1560 °C|MP=271 °C|Dichte=9,80 g/cm³|Ionenradius=74|Ivolt=702,96|Aradius=155|Enthalpie=207.1|IVolt2=1610,35|Wert=7|IVolt3=2466,18|Farbe=weiß-rosa|Flamme=|Elektronenkonfiguration=[Xe] 6s2 4f14 5d10 6p3|EK-Wiki=[Xe] 6s&lt;sup&gt;2&lt;/sup&gt; 4f&lt;sup&gt;1&lt;/sup&gt;4 5d&lt;sup&gt;10&lt;/sup&gt; 6p&lt;sup&gt;3&lt;/sup&gt;|pre=Blei|next=Polonium|Metall=Metall|E-Name=Bismuth|L-Name=|Verwendung=|Wortherkunft=Das Element Bismut kennt man wahrscheinlich schon seit der Antike. Der Name ''Wismut'' ist seit 1472 bekannt und geht vermutlich auf den ersten Ort der Gewinnung "in den Wiesen" am Schneeberg im Erzgebirge zurück. Es gibt jedoch auch andere Etymologien, beispielsweise von "weiß". Georgius Agricola benutzte die latinisierte Bezeichnung ''bismutum'', worauf der heutige Name zurückgeht.|L-Abk. bzw. redirect=#REDIRECT [[Bismut]]|radioaktiv=|hoch=Antimon|runter=Ununpentium|Bild-Element=|Bild-Verwendung=|www= wurde  in Deutschland durch  entdeckt.|E-Gruppe=|Sonstiges-kurz=|OZ3=083|WL=Sammlung|Text= }}
[[Kategorie:Chemie]][[Kategorie:Chemikalien]]</v>
      </c>
      <c r="AT84" t="str">
        <f t="shared" si="23"/>
        <v xml:space="preserve"> wurde  in Deutschland durch  entdeckt. http://www.webelements.com/webelements/elements/media/element-pics/Bi.jpg</v>
      </c>
    </row>
    <row r="85" spans="1:46" ht="262.2">
      <c r="A85">
        <v>84</v>
      </c>
      <c r="B85" t="s">
        <v>390</v>
      </c>
      <c r="C85" t="s">
        <v>391</v>
      </c>
      <c r="D85">
        <v>209</v>
      </c>
      <c r="E85">
        <v>2</v>
      </c>
      <c r="F85" t="s">
        <v>671</v>
      </c>
      <c r="G85" t="s">
        <v>672</v>
      </c>
      <c r="H85" t="s">
        <v>514</v>
      </c>
      <c r="I85">
        <v>1898</v>
      </c>
      <c r="J85" t="s">
        <v>173</v>
      </c>
      <c r="K85" t="s">
        <v>1080</v>
      </c>
      <c r="L85">
        <v>65</v>
      </c>
      <c r="M85">
        <v>167.5</v>
      </c>
      <c r="N85" s="103">
        <v>812.09</v>
      </c>
      <c r="P85">
        <v>146</v>
      </c>
      <c r="Q85" s="103" t="s">
        <v>1068</v>
      </c>
      <c r="R85">
        <v>6</v>
      </c>
      <c r="S85" s="103" t="s">
        <v>1068</v>
      </c>
      <c r="T85" t="s">
        <v>1233</v>
      </c>
      <c r="V85" t="s">
        <v>869</v>
      </c>
      <c r="W85" t="s">
        <v>955</v>
      </c>
      <c r="X85" t="str">
        <f t="shared" si="29"/>
        <v>Bismut</v>
      </c>
      <c r="Y85" t="str">
        <f t="shared" si="24"/>
        <v>Astat</v>
      </c>
      <c r="Z85" t="s">
        <v>989</v>
      </c>
      <c r="AA85" s="72" t="s">
        <v>391</v>
      </c>
      <c r="AB85" s="108"/>
      <c r="AC85" s="72"/>
      <c r="AD85" s="87" t="s">
        <v>1246</v>
      </c>
      <c r="AE85" s="87" t="str">
        <f t="shared" si="32"/>
        <v>#REDIRECT [[Polonium]]</v>
      </c>
      <c r="AF85" s="46" t="s">
        <v>167</v>
      </c>
      <c r="AG85" t="s">
        <v>118</v>
      </c>
      <c r="AH85" t="str">
        <f t="shared" si="18"/>
        <v>Livermorium</v>
      </c>
      <c r="AK85" t="str">
        <f t="shared" si="26"/>
        <v xml:space="preserve"> wurde 1898 in Frankreich durch Curie entdeckt.</v>
      </c>
      <c r="AN85" t="str">
        <f t="shared" si="31"/>
        <v>084</v>
      </c>
      <c r="AO85" t="s">
        <v>1236</v>
      </c>
      <c r="AP85" s="87" t="str">
        <f t="shared" si="22"/>
        <v>{{Element|Ordnungszahl=84|Symbol=Po|Name=Polonium|Atommasse=209|EN=2|BP=962 °C|MP=254 °C|Dichte=9,20 g/cm³|Ionenradius=65|Ivolt=812,09|Aradius=167,5</v>
      </c>
      <c r="AQ85" s="87" t="str">
        <f t="shared" si="27"/>
        <v>|Enthalpie=146|IVolt2=-|Wert=6|IVolt3=-|Farbe=silbrigweiß glänzend|Flamme=|Elektronenkonfiguration=[Xe] 6s2 4f14 5d10 6p4|EK-Wiki=[Xe] 6s&lt;sup&gt;2&lt;/sup&gt; 4f&lt;sup&gt;1&lt;/sup&gt;4 5d&lt;sup&gt;10&lt;/sup&gt; 6p&lt;sup&gt;4&lt;/sup&gt;|pre=Bismut|next=Astat|Metall=Metall|E-Name=Polonium|L-Name=</v>
      </c>
      <c r="AR85" s="87" t="str">
        <f t="shared" si="28"/>
        <v>|Verwendung=|Wortherkunft=Polonium wurde 1898 von Marie und Pierre Curie entdeckt. Den Namen gab Marie Curie dem Element zu Ehren ihres Heimatlandes Polen.|L-Abk. bzw. redirect=#REDIRECT [[Polonium]]|radioaktiv=[[radioaktiv]]es&amp;nbsp;|hoch=Tellur|runter=Livermorium|Bild-Element=|Bild-Verwendung=|www= wurde 1898 in Frankreich durch Curie entdeckt.|E-Gruppe=|Sonstiges-kurz=|OZ3=084|WL=nichda|Text= }}
[[Kategorie:Chemie]][[Kategorie:Chemikalien]]</v>
      </c>
      <c r="AS85" s="104" t="str">
        <f t="shared" si="19"/>
        <v>{{Element|Ordnungszahl=84|Symbol=Po|Name=Polonium|Atommasse=209|EN=2|BP=962 °C|MP=254 °C|Dichte=9,20 g/cm³|Ionenradius=65|Ivolt=812,09|Aradius=167,5|Enthalpie=146|IVolt2=-|Wert=6|IVolt3=-|Farbe=silbrigweiß glänzend|Flamme=|Elektronenkonfiguration=[Xe] 6s2 4f14 5d10 6p4|EK-Wiki=[Xe] 6s&lt;sup&gt;2&lt;/sup&gt; 4f&lt;sup&gt;1&lt;/sup&gt;4 5d&lt;sup&gt;10&lt;/sup&gt; 6p&lt;sup&gt;4&lt;/sup&gt;|pre=Bismut|next=Astat|Metall=Metall|E-Name=Polonium|L-Name=|Verwendung=|Wortherkunft=Polonium wurde 1898 von Marie und Pierre Curie entdeckt. Den Namen gab Marie Curie dem Element zu Ehren ihres Heimatlandes Polen.|L-Abk. bzw. redirect=#REDIRECT [[Polonium]]|radioaktiv=[[radioaktiv]]es&amp;nbsp;|hoch=Tellur|runter=Livermorium|Bild-Element=|Bild-Verwendung=|www= wurde 1898 in Frankreich durch Curie entdeckt.|E-Gruppe=|Sonstiges-kurz=|OZ3=084|WL=nichda|Text= }}
[[Kategorie:Chemie]][[Kategorie:Chemikalien]]</v>
      </c>
      <c r="AT85" t="str">
        <f t="shared" si="23"/>
        <v xml:space="preserve"> wurde 1898 in Frankreich durch Curie entdeckt. http://www.webelements.com/webelements/elements/media/element-pics/Po.jpg</v>
      </c>
    </row>
    <row r="86" spans="1:46" ht="303.60000000000002">
      <c r="A86">
        <v>85</v>
      </c>
      <c r="B86" t="s">
        <v>392</v>
      </c>
      <c r="C86" t="s">
        <v>393</v>
      </c>
      <c r="D86">
        <v>210</v>
      </c>
      <c r="E86">
        <v>2.2000000000000002</v>
      </c>
      <c r="F86" t="s">
        <v>673</v>
      </c>
      <c r="G86" t="s">
        <v>674</v>
      </c>
      <c r="H86" t="s">
        <v>515</v>
      </c>
      <c r="I86">
        <v>1940</v>
      </c>
      <c r="J86" t="s">
        <v>174</v>
      </c>
      <c r="K86" t="s">
        <v>321</v>
      </c>
      <c r="L86">
        <v>227</v>
      </c>
      <c r="M86">
        <v>121</v>
      </c>
      <c r="N86" s="103" t="s">
        <v>1068</v>
      </c>
      <c r="P86">
        <v>0</v>
      </c>
      <c r="Q86" s="103" t="s">
        <v>1068</v>
      </c>
      <c r="R86">
        <v>2</v>
      </c>
      <c r="S86" s="103" t="s">
        <v>1068</v>
      </c>
      <c r="T86" t="s">
        <v>1225</v>
      </c>
      <c r="V86" t="s">
        <v>870</v>
      </c>
      <c r="W86" t="s">
        <v>956</v>
      </c>
      <c r="X86" t="str">
        <f t="shared" si="29"/>
        <v>Polonium</v>
      </c>
      <c r="Y86" t="str">
        <f t="shared" si="24"/>
        <v>Radon</v>
      </c>
      <c r="Z86" t="s">
        <v>991</v>
      </c>
      <c r="AA86" s="72" t="s">
        <v>1024</v>
      </c>
      <c r="AB86" s="108"/>
      <c r="AC86" s="72"/>
      <c r="AD86" s="87" t="s">
        <v>1205</v>
      </c>
      <c r="AE86" s="87" t="str">
        <f t="shared" si="32"/>
        <v>#REDIRECT [[Astat]]</v>
      </c>
      <c r="AF86" s="46" t="s">
        <v>167</v>
      </c>
      <c r="AG86" t="s">
        <v>121</v>
      </c>
      <c r="AH86" t="str">
        <f t="shared" si="18"/>
        <v>Ununseptium</v>
      </c>
      <c r="AK86" t="str">
        <f t="shared" si="26"/>
        <v xml:space="preserve"> wurde 1940 in USA durch Corson, Mackenzie entdeckt.</v>
      </c>
      <c r="AN86" t="str">
        <f t="shared" si="31"/>
        <v>085</v>
      </c>
      <c r="AO86" t="s">
        <v>1236</v>
      </c>
      <c r="AP86" s="87" t="str">
        <f t="shared" si="22"/>
        <v>{{Element|Ordnungszahl=85|Symbol=At|Name=Astat|Atommasse=210|EN=2,2|BP=335 °C|MP=302 °C|Dichte=k.A.|Ionenradius=227|Ivolt=-|Aradius=121</v>
      </c>
      <c r="AQ86" s="87" t="str">
        <f t="shared" si="27"/>
        <v>|Enthalpie=0|IVolt2=-|Wert=2|IVolt3=-|Farbe=metallisch glänzend|Flamme=|Elektronenkonfiguration=[Xe] 6s2 4f14 5d10 6p5|EK-Wiki=[Xe] 6s&lt;sup&gt;2&lt;/sup&gt; 4f&lt;sup&gt;1&lt;/sup&gt;4 5d&lt;sup&gt;10&lt;/sup&gt; 6p&lt;sup&gt;5&lt;/sup&gt;|pre=Polonium|next=Radon|Metall=Halbmetall|E-Name=Astatine|L-Name=</v>
      </c>
      <c r="AR86" s="87" t="str">
        <f t="shared" si="28"/>
        <v>|Verwendung=|Wortherkunft=Astat (altgriechisch αστατεω = unbeständig, wegen des radioaktiven Zerfalls von Astat) wurde zuerst 1940 von Dale Corson, Kenneth MacKenzie und Emilio Segrè in der University of California künstlich hergestellt, und zwar durch Beschuss von Bismut mit Alphateilchen.|L-Abk. bzw. redirect=#REDIRECT [[Astat]]|radioaktiv=[[radioaktiv]]es&amp;nbsp;|hoch=Iod|runter=Ununseptium|Bild-Element=|Bild-Verwendung=|www= wurde 1940 in USA durch Corson, Mackenzie entdeckt.|E-Gruppe=|Sonstiges-kurz=|OZ3=085|WL=nichda|Text= }}
[[Kategorie:Chemie]][[Kategorie:Chemikalien]]</v>
      </c>
      <c r="AS86" s="104" t="str">
        <f t="shared" si="19"/>
        <v>{{Element|Ordnungszahl=85|Symbol=At|Name=Astat|Atommasse=210|EN=2,2|BP=335 °C|MP=302 °C|Dichte=k.A.|Ionenradius=227|Ivolt=-|Aradius=121|Enthalpie=0|IVolt2=-|Wert=2|IVolt3=-|Farbe=metallisch glänzend|Flamme=|Elektronenkonfiguration=[Xe] 6s2 4f14 5d10 6p5|EK-Wiki=[Xe] 6s&lt;sup&gt;2&lt;/sup&gt; 4f&lt;sup&gt;1&lt;/sup&gt;4 5d&lt;sup&gt;10&lt;/sup&gt; 6p&lt;sup&gt;5&lt;/sup&gt;|pre=Polonium|next=Radon|Metall=Halbmetall|E-Name=Astatine|L-Name=|Verwendung=|Wortherkunft=Astat (altgriechisch αστατεω = unbeständig, wegen des radioaktiven Zerfalls von Astat) wurde zuerst 1940 von Dale Corson, Kenneth MacKenzie und Emilio Segrè in der University of California künstlich hergestellt, und zwar durch Beschuss von Bismut mit Alphateilchen.|L-Abk. bzw. redirect=#REDIRECT [[Astat]]|radioaktiv=[[radioaktiv]]es&amp;nbsp;|hoch=Iod|runter=Ununseptium|Bild-Element=|Bild-Verwendung=|www= wurde 1940 in USA durch Corson, Mackenzie entdeckt.|E-Gruppe=|Sonstiges-kurz=|OZ3=085|WL=nichda|Text= }}
[[Kategorie:Chemie]][[Kategorie:Chemikalien]]</v>
      </c>
      <c r="AT86" t="str">
        <f t="shared" si="23"/>
        <v xml:space="preserve"> wurde 1940 in USA durch Corson, Mackenzie entdeckt. http://www.webelements.com/webelements/elements/media/element-pics/At.jpg</v>
      </c>
    </row>
    <row r="87" spans="1:46" ht="276">
      <c r="A87">
        <v>86</v>
      </c>
      <c r="B87" t="s">
        <v>394</v>
      </c>
      <c r="C87" t="s">
        <v>395</v>
      </c>
      <c r="D87">
        <v>222</v>
      </c>
      <c r="E87">
        <v>0</v>
      </c>
      <c r="F87" t="s">
        <v>675</v>
      </c>
      <c r="G87" t="s">
        <v>676</v>
      </c>
      <c r="H87" t="s">
        <v>988</v>
      </c>
      <c r="I87">
        <v>1900</v>
      </c>
      <c r="J87" t="s">
        <v>175</v>
      </c>
      <c r="K87" t="s">
        <v>1120</v>
      </c>
      <c r="L87" t="s">
        <v>1068</v>
      </c>
      <c r="M87" t="s">
        <v>1068</v>
      </c>
      <c r="N87" s="103">
        <v>1037.08</v>
      </c>
      <c r="P87">
        <v>0</v>
      </c>
      <c r="Q87" s="103" t="s">
        <v>1068</v>
      </c>
      <c r="R87" t="s">
        <v>1068</v>
      </c>
      <c r="S87" s="103" t="s">
        <v>1068</v>
      </c>
      <c r="T87" t="s">
        <v>1069</v>
      </c>
      <c r="V87" t="s">
        <v>871</v>
      </c>
      <c r="W87" t="s">
        <v>957</v>
      </c>
      <c r="X87" t="str">
        <f t="shared" si="29"/>
        <v>Astat</v>
      </c>
      <c r="Y87" t="str">
        <f t="shared" si="24"/>
        <v>Francium</v>
      </c>
      <c r="Z87" t="s">
        <v>990</v>
      </c>
      <c r="AA87" s="72" t="s">
        <v>395</v>
      </c>
      <c r="AB87" s="108"/>
      <c r="AC87" s="72"/>
      <c r="AD87" s="87" t="s">
        <v>272</v>
      </c>
      <c r="AE87" s="87" t="str">
        <f t="shared" si="32"/>
        <v>#REDIRECT [[Radon]]</v>
      </c>
      <c r="AF87" s="46" t="s">
        <v>167</v>
      </c>
      <c r="AG87" t="s">
        <v>125</v>
      </c>
      <c r="AH87" t="str">
        <f t="shared" si="18"/>
        <v>Ununoctium</v>
      </c>
      <c r="AK87" t="str">
        <f t="shared" si="26"/>
        <v xml:space="preserve"> wurde 1900 in Deutschland durch Dorn entdeckt.</v>
      </c>
      <c r="AN87" t="str">
        <f t="shared" si="31"/>
        <v>086</v>
      </c>
      <c r="AO87" t="s">
        <v>1236</v>
      </c>
      <c r="AP87" s="87" t="str">
        <f t="shared" si="22"/>
        <v>{{Element|Ordnungszahl=86|Symbol=Rn|Name=Radon|Atommasse=222|EN=0|BP=-62 °C|MP=-71 °C|Dichte=9,96 g/L|Ionenradius=-|Ivolt=1037,08|Aradius=-</v>
      </c>
      <c r="AQ87" s="87" t="str">
        <f t="shared" si="27"/>
        <v>|Enthalpie=0|IVolt2=-|Wert=-|IVolt3=-|Farbe=farblos|Flamme=|Elektronenkonfiguration=[Xe] 6s2 4f14 5d10 6p6|EK-Wiki=[Xe] 6s&lt;sup&gt;2&lt;/sup&gt; 4f&lt;sup&gt;1&lt;/sup&gt;4 5d&lt;sup&gt;10&lt;/sup&gt; 6p&lt;sup&gt;6&lt;/sup&gt;|pre=Astat|next=Francium|Metall=Nichtmetall|E-Name=Radon|L-Name=</v>
      </c>
      <c r="AR87" s="87" t="str">
        <f t="shared" si="28"/>
        <v>|Verwendung=|Wortherkunft=Radon (von lat. radius = Strahl, wegen seiner Radioaktivität). Radon wurde 1900 erstmals von Friedrich Ernst Dorn entdeckt; er nannte es "Radium Emanation" ("aus Radium herausgehendes").|L-Abk. bzw. redirect=#REDIRECT [[Radon]]|radioaktiv=[[radioaktiv]]es&amp;nbsp;|hoch=Xenon|runter=Ununoctium|Bild-Element=|Bild-Verwendung=|www= wurde 1900 in Deutschland durch Dorn entdeckt.|E-Gruppe=|Sonstiges-kurz=|OZ3=086|WL=nichda|Text= }}
[[Kategorie:Chemie]][[Kategorie:Chemikalien]]</v>
      </c>
      <c r="AS87" s="104" t="str">
        <f t="shared" si="19"/>
        <v>{{Element|Ordnungszahl=86|Symbol=Rn|Name=Radon|Atommasse=222|EN=0|BP=-62 °C|MP=-71 °C|Dichte=9,96 g/L|Ionenradius=-|Ivolt=1037,08|Aradius=-|Enthalpie=0|IVolt2=-|Wert=-|IVolt3=-|Farbe=farblos|Flamme=|Elektronenkonfiguration=[Xe] 6s2 4f14 5d10 6p6|EK-Wiki=[Xe] 6s&lt;sup&gt;2&lt;/sup&gt; 4f&lt;sup&gt;1&lt;/sup&gt;4 5d&lt;sup&gt;10&lt;/sup&gt; 6p&lt;sup&gt;6&lt;/sup&gt;|pre=Astat|next=Francium|Metall=Nichtmetall|E-Name=Radon|L-Name=|Verwendung=|Wortherkunft=Radon (von lat. radius = Strahl, wegen seiner Radioaktivität). Radon wurde 1900 erstmals von Friedrich Ernst Dorn entdeckt; er nannte es "Radium Emanation" ("aus Radium herausgehendes").|L-Abk. bzw. redirect=#REDIRECT [[Radon]]|radioaktiv=[[radioaktiv]]es&amp;nbsp;|hoch=Xenon|runter=Ununoctium|Bild-Element=|Bild-Verwendung=|www= wurde 1900 in Deutschland durch Dorn entdeckt.|E-Gruppe=|Sonstiges-kurz=|OZ3=086|WL=nichda|Text= }}
[[Kategorie:Chemie]][[Kategorie:Chemikalien]]</v>
      </c>
      <c r="AT87" t="str">
        <f t="shared" si="23"/>
        <v xml:space="preserve"> wurde 1900 in Deutschland durch Dorn entdeckt. http://www.webelements.com/webelements/elements/media/element-pics/Rn.jpg</v>
      </c>
    </row>
    <row r="88" spans="1:46" ht="234.6">
      <c r="A88">
        <v>87</v>
      </c>
      <c r="B88" t="s">
        <v>396</v>
      </c>
      <c r="C88" t="s">
        <v>397</v>
      </c>
      <c r="D88">
        <v>223</v>
      </c>
      <c r="E88">
        <v>0.7</v>
      </c>
      <c r="F88" t="s">
        <v>677</v>
      </c>
      <c r="G88" t="s">
        <v>678</v>
      </c>
      <c r="H88" t="s">
        <v>1014</v>
      </c>
      <c r="I88">
        <v>1939</v>
      </c>
      <c r="J88" t="s">
        <v>176</v>
      </c>
      <c r="K88" t="s">
        <v>1080</v>
      </c>
      <c r="L88">
        <v>180</v>
      </c>
      <c r="M88">
        <v>270</v>
      </c>
      <c r="N88" s="103">
        <v>392.96</v>
      </c>
      <c r="P88" t="s">
        <v>398</v>
      </c>
      <c r="Q88" s="103" t="s">
        <v>1068</v>
      </c>
      <c r="R88">
        <v>1</v>
      </c>
      <c r="S88" s="103" t="s">
        <v>1068</v>
      </c>
      <c r="T88" t="s">
        <v>1226</v>
      </c>
      <c r="V88" t="s">
        <v>809</v>
      </c>
      <c r="W88" t="s">
        <v>878</v>
      </c>
      <c r="X88" t="str">
        <f t="shared" si="29"/>
        <v>Radon</v>
      </c>
      <c r="Y88" t="str">
        <f t="shared" si="24"/>
        <v>Radium</v>
      </c>
      <c r="Z88" t="s">
        <v>989</v>
      </c>
      <c r="AA88" s="72" t="s">
        <v>397</v>
      </c>
      <c r="AB88" s="108"/>
      <c r="AC88" s="72"/>
      <c r="AD88" s="88" t="s">
        <v>273</v>
      </c>
      <c r="AE88" s="87" t="str">
        <f t="shared" si="32"/>
        <v>#REDIRECT [[Francium]]</v>
      </c>
      <c r="AF88" s="46" t="s">
        <v>167</v>
      </c>
      <c r="AG88" t="s">
        <v>767</v>
      </c>
      <c r="AH88" t="str">
        <f>C88</f>
        <v>Francium</v>
      </c>
      <c r="AK88" t="str">
        <f t="shared" si="26"/>
        <v xml:space="preserve"> wurde 1939 in Frankreich durch Perey entdeckt.</v>
      </c>
      <c r="AN88" t="str">
        <f t="shared" si="31"/>
        <v>087</v>
      </c>
      <c r="AO88" t="s">
        <v>1236</v>
      </c>
      <c r="AP88" s="87" t="str">
        <f t="shared" si="22"/>
        <v>{{Element|Ordnungszahl=87|Symbol=Fr|Name=Francium|Atommasse=223|EN=0,7|BP=680 °C|MP=27 °C|Dichte=1,87 g/cm³|Ionenradius=180|Ivolt=392,96|Aradius=270</v>
      </c>
      <c r="AQ88" s="87" t="str">
        <f t="shared" si="27"/>
        <v>|Enthalpie=72.8|IVolt2=-|Wert=1|IVolt3=-|Farbe=in seiner Farbe unbekannt|Flamme=|Elektronenkonfiguration=[Rn] 7s1|EK-Wiki=[Rn] 7s&lt;sup&gt;1&lt;/sup&gt;|pre=Radon|next=Radium|Metall=Metall|E-Name=Francium|L-Name=</v>
      </c>
      <c r="AR88" s="87" t="str">
        <f t="shared" si="28"/>
        <v>|Verwendung=|Wortherkunft='Francium'' (von franz. ''France'' = ''Frankreich'', dem Vaterland des Entdeckers),|L-Abk. bzw. redirect=#REDIRECT [[Francium]]|radioaktiv=[[radioaktiv]]es&amp;nbsp;|hoch=Caesium|runter=Francium|Bild-Element=|Bild-Verwendung=|www= wurde 1939 in Frankreich durch Perey entdeckt.|E-Gruppe=|Sonstiges-kurz=|OZ3=087|WL=nichda|Text= }}
[[Kategorie:Chemie]][[Kategorie:Chemikalien]]</v>
      </c>
      <c r="AS88" s="104" t="str">
        <f t="shared" si="19"/>
        <v>{{Element|Ordnungszahl=87|Symbol=Fr|Name=Francium|Atommasse=223|EN=0,7|BP=680 °C|MP=27 °C|Dichte=1,87 g/cm³|Ionenradius=180|Ivolt=392,96|Aradius=270|Enthalpie=72.8|IVolt2=-|Wert=1|IVolt3=-|Farbe=in seiner Farbe unbekannt|Flamme=|Elektronenkonfiguration=[Rn] 7s1|EK-Wiki=[Rn] 7s&lt;sup&gt;1&lt;/sup&gt;|pre=Radon|next=Radium|Metall=Metall|E-Name=Francium|L-Name=|Verwendung=|Wortherkunft='Francium'' (von franz. ''France'' = ''Frankreich'', dem Vaterland des Entdeckers),|L-Abk. bzw. redirect=#REDIRECT [[Francium]]|radioaktiv=[[radioaktiv]]es&amp;nbsp;|hoch=Caesium|runter=Francium|Bild-Element=|Bild-Verwendung=|www= wurde 1939 in Frankreich durch Perey entdeckt.|E-Gruppe=|Sonstiges-kurz=|OZ3=087|WL=nichda|Text= }}
[[Kategorie:Chemie]][[Kategorie:Chemikalien]]</v>
      </c>
      <c r="AT88" t="str">
        <f t="shared" si="23"/>
        <v xml:space="preserve"> wurde 1939 in Frankreich durch Perey entdeckt. http://www.webelements.com/webelements/elements/media/element-pics/Fr.jpg</v>
      </c>
    </row>
    <row r="89" spans="1:46" ht="220.8">
      <c r="A89">
        <v>88</v>
      </c>
      <c r="B89" t="s">
        <v>399</v>
      </c>
      <c r="C89" t="s">
        <v>400</v>
      </c>
      <c r="D89">
        <v>226</v>
      </c>
      <c r="E89">
        <v>0.9</v>
      </c>
      <c r="F89" t="s">
        <v>679</v>
      </c>
      <c r="G89" t="s">
        <v>680</v>
      </c>
      <c r="H89" t="s">
        <v>516</v>
      </c>
      <c r="I89">
        <v>1898</v>
      </c>
      <c r="J89" t="s">
        <v>173</v>
      </c>
      <c r="K89" t="s">
        <v>1080</v>
      </c>
      <c r="L89">
        <v>152</v>
      </c>
      <c r="M89">
        <v>223</v>
      </c>
      <c r="N89" s="103">
        <v>509.29</v>
      </c>
      <c r="P89">
        <v>159</v>
      </c>
      <c r="Q89" s="103">
        <v>979.06</v>
      </c>
      <c r="R89">
        <v>2</v>
      </c>
      <c r="S89" s="103" t="s">
        <v>1068</v>
      </c>
      <c r="T89" t="s">
        <v>1229</v>
      </c>
      <c r="U89" t="s">
        <v>75</v>
      </c>
      <c r="V89" t="s">
        <v>810</v>
      </c>
      <c r="W89" t="s">
        <v>887</v>
      </c>
      <c r="X89" t="str">
        <f t="shared" si="29"/>
        <v>Francium</v>
      </c>
      <c r="Y89" t="str">
        <f t="shared" si="24"/>
        <v>Actinium</v>
      </c>
      <c r="Z89" t="s">
        <v>989</v>
      </c>
      <c r="AA89" s="72" t="s">
        <v>400</v>
      </c>
      <c r="AB89" s="108"/>
      <c r="AC89" s="72"/>
      <c r="AD89" s="87" t="s">
        <v>274</v>
      </c>
      <c r="AE89" s="87" t="str">
        <f t="shared" si="32"/>
        <v>#REDIRECT [[Radium]]</v>
      </c>
      <c r="AF89" s="46" t="s">
        <v>167</v>
      </c>
      <c r="AG89" t="s">
        <v>130</v>
      </c>
      <c r="AH89" t="str">
        <f t="shared" ref="AH89:AH119" si="33">C89</f>
        <v>Radium</v>
      </c>
      <c r="AK89" t="str">
        <f t="shared" si="26"/>
        <v xml:space="preserve"> wurde 1898 in Frankreich durch Curie entdeckt.</v>
      </c>
      <c r="AN89" t="str">
        <f t="shared" si="31"/>
        <v>088</v>
      </c>
      <c r="AO89" t="s">
        <v>1236</v>
      </c>
      <c r="AP89" s="87" t="str">
        <f t="shared" si="22"/>
        <v>{{Element|Ordnungszahl=88|Symbol=Ra|Name=Radium|Atommasse=226|EN=0,9|BP=1530 °C|MP=700 °C|Dichte=5,50 g/cm³|Ionenradius=152|Ivolt=509,29|Aradius=223</v>
      </c>
      <c r="AQ89" s="87" t="str">
        <f t="shared" si="27"/>
        <v>|Enthalpie=159|IVolt2=979,06|Wert=2|IVolt3=-|Farbe=silbrig-weiß|Flamme=karminrot|Elektronenkonfiguration=[Rn] 7s2|EK-Wiki=[Rn] 7s&lt;sup&gt;2&lt;/sup&gt;|pre=Francium|next=Actinium|Metall=Metall|E-Name=Radium|L-Name=</v>
      </c>
      <c r="AR89" s="87" t="str">
        <f t="shared" si="28"/>
        <v>|Verwendung=|Wortherkunft=Radium (von lat. radius = Strahl)|L-Abk. bzw. redirect=#REDIRECT [[Radium]]|radioaktiv=[[radioaktiv]]es&amp;nbsp;|hoch=Barium|runter=Radium|Bild-Element=|Bild-Verwendung=|www= wurde 1898 in Frankreich durch Curie entdeckt.|E-Gruppe=|Sonstiges-kurz=|OZ3=088|WL=nichda|Text= }}
[[Kategorie:Chemie]][[Kategorie:Chemikalien]]</v>
      </c>
      <c r="AS89" s="104" t="str">
        <f t="shared" si="19"/>
        <v>{{Element|Ordnungszahl=88|Symbol=Ra|Name=Radium|Atommasse=226|EN=0,9|BP=1530 °C|MP=700 °C|Dichte=5,50 g/cm³|Ionenradius=152|Ivolt=509,29|Aradius=223|Enthalpie=159|IVolt2=979,06|Wert=2|IVolt3=-|Farbe=silbrig-weiß|Flamme=karminrot|Elektronenkonfiguration=[Rn] 7s2|EK-Wiki=[Rn] 7s&lt;sup&gt;2&lt;/sup&gt;|pre=Francium|next=Actinium|Metall=Metall|E-Name=Radium|L-Name=|Verwendung=|Wortherkunft=Radium (von lat. radius = Strahl)|L-Abk. bzw. redirect=#REDIRECT [[Radium]]|radioaktiv=[[radioaktiv]]es&amp;nbsp;|hoch=Barium|runter=Radium|Bild-Element=|Bild-Verwendung=|www= wurde 1898 in Frankreich durch Curie entdeckt.|E-Gruppe=|Sonstiges-kurz=|OZ3=088|WL=nichda|Text= }}
[[Kategorie:Chemie]][[Kategorie:Chemikalien]]</v>
      </c>
      <c r="AT89" t="str">
        <f t="shared" si="23"/>
        <v xml:space="preserve"> wurde 1898 in Frankreich durch Curie entdeckt. http://www.webelements.com/webelements/elements/media/element-pics/Ra.jpg</v>
      </c>
    </row>
    <row r="90" spans="1:46" ht="248.4">
      <c r="A90">
        <v>89</v>
      </c>
      <c r="B90" t="s">
        <v>401</v>
      </c>
      <c r="C90" t="s">
        <v>402</v>
      </c>
      <c r="D90">
        <v>227</v>
      </c>
      <c r="E90">
        <v>1.1000000000000001</v>
      </c>
      <c r="F90" t="s">
        <v>681</v>
      </c>
      <c r="G90" t="s">
        <v>682</v>
      </c>
      <c r="H90" t="s">
        <v>517</v>
      </c>
      <c r="I90">
        <v>1899</v>
      </c>
      <c r="J90" t="s">
        <v>177</v>
      </c>
      <c r="K90" t="s">
        <v>1080</v>
      </c>
      <c r="L90">
        <v>118</v>
      </c>
      <c r="M90">
        <v>187.8</v>
      </c>
      <c r="N90" s="103">
        <v>498.83</v>
      </c>
      <c r="P90">
        <v>406</v>
      </c>
      <c r="Q90" s="103">
        <v>1167.48</v>
      </c>
      <c r="R90">
        <v>3</v>
      </c>
      <c r="S90" s="103" t="s">
        <v>1068</v>
      </c>
      <c r="T90" t="s">
        <v>1229</v>
      </c>
      <c r="V90" t="s">
        <v>859</v>
      </c>
      <c r="W90" t="s">
        <v>903</v>
      </c>
      <c r="X90" t="str">
        <f t="shared" si="29"/>
        <v>Radium</v>
      </c>
      <c r="Y90" t="str">
        <f t="shared" si="24"/>
        <v>Thorium</v>
      </c>
      <c r="Z90" t="s">
        <v>989</v>
      </c>
      <c r="AA90" s="72" t="s">
        <v>402</v>
      </c>
      <c r="AB90" s="108"/>
      <c r="AC90" s="72"/>
      <c r="AD90" s="87" t="s">
        <v>275</v>
      </c>
      <c r="AE90" s="87" t="str">
        <f t="shared" si="32"/>
        <v>#REDIRECT [[Actinium]]</v>
      </c>
      <c r="AF90" s="46" t="s">
        <v>167</v>
      </c>
      <c r="AG90" t="s">
        <v>309</v>
      </c>
      <c r="AH90" t="str">
        <f t="shared" si="33"/>
        <v>Actinium</v>
      </c>
      <c r="AK90" t="str">
        <f t="shared" si="26"/>
        <v xml:space="preserve"> wurde 1899 in Frankreich durch Debierne, Giesel entdeckt.</v>
      </c>
      <c r="AN90" t="str">
        <f t="shared" si="31"/>
        <v>089</v>
      </c>
      <c r="AO90" t="s">
        <v>1236</v>
      </c>
      <c r="AP90" s="87" t="str">
        <f t="shared" si="22"/>
        <v>{{Element|Ordnungszahl=89|Symbol=Ac|Name=Actinium|Atommasse=227|EN=1,1|BP=3200 °C|MP=1050 °C|Dichte=10,07 g/cm³|Ionenradius=118|Ivolt=498,83|Aradius=187,8</v>
      </c>
      <c r="AQ90" s="87" t="str">
        <f t="shared" si="27"/>
        <v>|Enthalpie=406|IVolt2=1167,48|Wert=3|IVolt3=-|Farbe=silbrig-weiß|Flamme=|Elektronenkonfiguration=[Rn] 7s2 6d1|EK-Wiki=[Rn] 7s&lt;sup&gt;2&lt;/sup&gt; 6d&lt;sup&gt;1&lt;/sup&gt;|pre=Radium|next=Thorium|Metall=Metall|E-Name=Actinium|L-Name=</v>
      </c>
      <c r="AR90" s="87" t="str">
        <f t="shared" si="28"/>
        <v>|Verwendung=|Wortherkunft=Der Name des Elements Actinium ist die latinisierte Form des griechischen Wortes (aktína = Strahl).|L-Abk. bzw. redirect=#REDIRECT [[Actinium]]|radioaktiv=[[radioaktiv]]es&amp;nbsp;|hoch=Lanthan|runter=Actinium|Bild-Element=|Bild-Verwendung=|www= wurde 1899 in Frankreich durch Debierne, Giesel entdeckt.|E-Gruppe=|Sonstiges-kurz=|OZ3=089|WL=nichda|Text= }}
[[Kategorie:Chemie]][[Kategorie:Chemikalien]]</v>
      </c>
      <c r="AS90" s="104" t="str">
        <f t="shared" si="19"/>
        <v>{{Element|Ordnungszahl=89|Symbol=Ac|Name=Actinium|Atommasse=227|EN=1,1|BP=3200 °C|MP=1050 °C|Dichte=10,07 g/cm³|Ionenradius=118|Ivolt=498,83|Aradius=187,8|Enthalpie=406|IVolt2=1167,48|Wert=3|IVolt3=-|Farbe=silbrig-weiß|Flamme=|Elektronenkonfiguration=[Rn] 7s2 6d1|EK-Wiki=[Rn] 7s&lt;sup&gt;2&lt;/sup&gt; 6d&lt;sup&gt;1&lt;/sup&gt;|pre=Radium|next=Thorium|Metall=Metall|E-Name=Actinium|L-Name=|Verwendung=|Wortherkunft=Der Name des Elements Actinium ist die latinisierte Form des griechischen Wortes (aktína = Strahl).|L-Abk. bzw. redirect=#REDIRECT [[Actinium]]|radioaktiv=[[radioaktiv]]es&amp;nbsp;|hoch=Lanthan|runter=Actinium|Bild-Element=|Bild-Verwendung=|www= wurde 1899 in Frankreich durch Debierne, Giesel entdeckt.|E-Gruppe=|Sonstiges-kurz=|OZ3=089|WL=nichda|Text= }}
[[Kategorie:Chemie]][[Kategorie:Chemikalien]]</v>
      </c>
      <c r="AT90" t="str">
        <f t="shared" si="23"/>
        <v xml:space="preserve"> wurde 1899 in Frankreich durch Debierne, Giesel entdeckt. http://www.webelements.com/webelements/elements/media/element-pics/Ac.jpg</v>
      </c>
    </row>
    <row r="91" spans="1:46" ht="248.4">
      <c r="A91">
        <v>90</v>
      </c>
      <c r="B91" t="s">
        <v>403</v>
      </c>
      <c r="C91" t="s">
        <v>404</v>
      </c>
      <c r="D91">
        <v>232</v>
      </c>
      <c r="E91">
        <v>1.3</v>
      </c>
      <c r="F91" t="s">
        <v>683</v>
      </c>
      <c r="G91" t="s">
        <v>684</v>
      </c>
      <c r="H91" t="s">
        <v>518</v>
      </c>
      <c r="I91">
        <v>1828</v>
      </c>
      <c r="J91" t="s">
        <v>178</v>
      </c>
      <c r="K91" t="s">
        <v>1076</v>
      </c>
      <c r="L91">
        <v>99</v>
      </c>
      <c r="M91">
        <v>179.8</v>
      </c>
      <c r="N91" s="103">
        <v>608.51</v>
      </c>
      <c r="P91" t="s">
        <v>405</v>
      </c>
      <c r="Q91" s="103">
        <v>1109.5899999999999</v>
      </c>
      <c r="R91">
        <v>4</v>
      </c>
      <c r="S91" s="103">
        <v>1929.72</v>
      </c>
      <c r="T91" t="s">
        <v>1227</v>
      </c>
      <c r="V91" t="s">
        <v>860</v>
      </c>
      <c r="W91" t="s">
        <v>907</v>
      </c>
      <c r="X91" t="str">
        <f t="shared" si="29"/>
        <v>Actinium</v>
      </c>
      <c r="Y91" t="str">
        <f t="shared" si="24"/>
        <v>Protactinium</v>
      </c>
      <c r="Z91" t="s">
        <v>989</v>
      </c>
      <c r="AA91" s="72" t="s">
        <v>404</v>
      </c>
      <c r="AB91" s="108"/>
      <c r="AC91" s="72"/>
      <c r="AD91" s="87" t="s">
        <v>2</v>
      </c>
      <c r="AE91" s="87" t="str">
        <f t="shared" si="32"/>
        <v>#REDIRECT [[Thorium]]</v>
      </c>
      <c r="AF91" s="46" t="s">
        <v>167</v>
      </c>
      <c r="AG91" t="s">
        <v>311</v>
      </c>
      <c r="AH91" t="str">
        <f t="shared" si="33"/>
        <v>Thorium</v>
      </c>
      <c r="AK91" t="str">
        <f t="shared" si="26"/>
        <v xml:space="preserve"> wurde 1828 in Schweden durch Berzelius entdeckt.</v>
      </c>
      <c r="AN91" t="str">
        <f t="shared" si="31"/>
        <v>090</v>
      </c>
      <c r="AO91" t="s">
        <v>1236</v>
      </c>
      <c r="AP91" s="87" t="str">
        <f t="shared" si="22"/>
        <v>{{Element|Ordnungszahl=90|Symbol=Th|Name=Thorium|Atommasse=232|EN=1,3|BP=4200 °C|MP=1700 °C|Dichte=11,72 g/cm³|Ionenradius=99|Ivolt=608,51|Aradius=179,8</v>
      </c>
      <c r="AQ91" s="87" t="str">
        <f t="shared" si="27"/>
        <v>|Enthalpie=598.3|IVolt2=1109,59|Wert=4|IVolt3=1929,72|Farbe=silbrig|Flamme=|Elektronenkonfiguration=[Rn] 7s2 6d2|EK-Wiki=[Rn] 7s&lt;sup&gt;2&lt;/sup&gt; 6d&lt;sup&gt;2&lt;/sup&gt;|pre=Actinium|next=Protactinium|Metall=Metall|E-Name=Thorium|L-Name=</v>
      </c>
      <c r="AR91" s="87" t="str">
        <f t="shared" si="28"/>
        <v>|Verwendung=|Wortherkunft=Thorium ist benannt nach dem germanischen Gott Thor.|L-Abk. bzw. redirect=#REDIRECT [[Thorium]]|radioaktiv=[[radioaktiv]]es&amp;nbsp;|hoch=Cer|runter=Thorium|Bild-Element=|Bild-Verwendung=|www= wurde 1828 in Schweden durch Berzelius entdeckt.|E-Gruppe=|Sonstiges-kurz=|OZ3=090|WL=nichda|Text= }}
[[Kategorie:Chemie]][[Kategorie:Chemikalien]]</v>
      </c>
      <c r="AS91" s="104" t="str">
        <f t="shared" si="19"/>
        <v>{{Element|Ordnungszahl=90|Symbol=Th|Name=Thorium|Atommasse=232|EN=1,3|BP=4200 °C|MP=1700 °C|Dichte=11,72 g/cm³|Ionenradius=99|Ivolt=608,51|Aradius=179,8|Enthalpie=598.3|IVolt2=1109,59|Wert=4|IVolt3=1929,72|Farbe=silbrig|Flamme=|Elektronenkonfiguration=[Rn] 7s2 6d2|EK-Wiki=[Rn] 7s&lt;sup&gt;2&lt;/sup&gt; 6d&lt;sup&gt;2&lt;/sup&gt;|pre=Actinium|next=Protactinium|Metall=Metall|E-Name=Thorium|L-Name=|Verwendung=|Wortherkunft=Thorium ist benannt nach dem germanischen Gott Thor.|L-Abk. bzw. redirect=#REDIRECT [[Thorium]]|radioaktiv=[[radioaktiv]]es&amp;nbsp;|hoch=Cer|runter=Thorium|Bild-Element=|Bild-Verwendung=|www= wurde 1828 in Schweden durch Berzelius entdeckt.|E-Gruppe=|Sonstiges-kurz=|OZ3=090|WL=nichda|Text= }}
[[Kategorie:Chemie]][[Kategorie:Chemikalien]]</v>
      </c>
      <c r="AT91" t="str">
        <f t="shared" si="23"/>
        <v xml:space="preserve"> wurde 1828 in Schweden durch Berzelius entdeckt. http://www.webelements.com/webelements/elements/media/element-pics/Th.jpg</v>
      </c>
    </row>
    <row r="92" spans="1:46" ht="289.8">
      <c r="A92">
        <v>91</v>
      </c>
      <c r="B92" t="s">
        <v>406</v>
      </c>
      <c r="C92" t="s">
        <v>407</v>
      </c>
      <c r="D92">
        <v>231</v>
      </c>
      <c r="E92">
        <v>1.5</v>
      </c>
      <c r="F92" t="s">
        <v>685</v>
      </c>
      <c r="G92" t="s">
        <v>686</v>
      </c>
      <c r="H92" t="s">
        <v>519</v>
      </c>
      <c r="I92">
        <v>1917</v>
      </c>
      <c r="J92" t="s">
        <v>179</v>
      </c>
      <c r="K92" t="s">
        <v>1067</v>
      </c>
      <c r="L92">
        <v>89</v>
      </c>
      <c r="M92">
        <v>160.6</v>
      </c>
      <c r="N92" s="103">
        <v>568.29999999999995</v>
      </c>
      <c r="P92">
        <v>607</v>
      </c>
      <c r="Q92" s="103" t="s">
        <v>1068</v>
      </c>
      <c r="R92">
        <v>7</v>
      </c>
      <c r="S92" s="103" t="s">
        <v>1068</v>
      </c>
      <c r="T92" t="s">
        <v>1228</v>
      </c>
      <c r="V92" t="s">
        <v>861</v>
      </c>
      <c r="W92" t="s">
        <v>959</v>
      </c>
      <c r="X92" t="str">
        <f t="shared" si="29"/>
        <v>Thorium</v>
      </c>
      <c r="Y92" t="str">
        <f t="shared" si="24"/>
        <v>Uran</v>
      </c>
      <c r="Z92" t="s">
        <v>989</v>
      </c>
      <c r="AA92" s="72" t="s">
        <v>407</v>
      </c>
      <c r="AB92" s="108"/>
      <c r="AC92" s="72"/>
      <c r="AD92" s="87" t="s">
        <v>276</v>
      </c>
      <c r="AE92" s="87" t="str">
        <f t="shared" si="32"/>
        <v>#REDIRECT [[Protactinium]]</v>
      </c>
      <c r="AF92" s="46" t="s">
        <v>167</v>
      </c>
      <c r="AG92" t="s">
        <v>313</v>
      </c>
      <c r="AH92" t="str">
        <f t="shared" si="33"/>
        <v>Protactinium</v>
      </c>
      <c r="AK92" t="str">
        <f t="shared" si="26"/>
        <v xml:space="preserve"> wurde 1917 in England durch Hahn, Meitner entdeckt.</v>
      </c>
      <c r="AN92" t="str">
        <f t="shared" si="31"/>
        <v>091</v>
      </c>
      <c r="AO92" t="s">
        <v>1236</v>
      </c>
      <c r="AP92" s="87" t="str">
        <f t="shared" si="22"/>
        <v>{{Element|Ordnungszahl=91|Symbol=Pa|Name=Protactinium|Atommasse=231|EN=1,5|BP=- °C|MP=1230 °C|Dichte=15,37 g/cm³|Ionenradius=89|Ivolt=568,3|Aradius=160,6</v>
      </c>
      <c r="AQ92" s="87" t="str">
        <f t="shared" si="27"/>
        <v>|Enthalpie=607|IVolt2=-|Wert=7|IVolt3=-|Farbe=silbrig glänzend|Flamme=|Elektronenkonfiguration=[Rn] 7s2 6d1 5f2|EK-Wiki=[Rn] 7s&lt;sup&gt;2&lt;/sup&gt; 6d&lt;sup&gt;1&lt;/sup&gt; 5f&lt;sup&gt;2&lt;/sup&gt;|pre=Thorium|next=Uran|Metall=Metall|E-Name=Protactinium|L-Name=</v>
      </c>
      <c r="AR92" s="87" t="str">
        <f t="shared" si="28"/>
        <v>|Verwendung=|Wortherkunft=Das  langlebige  Pa-231  (ca. 32000 Jahre) wurde 1918 von  Otto Hahn und Lise Meitner gefunden, sie nannten  es Protactinium  (das chemische Element, das in der Zerfallsreihe  des Uran-235 vor dem Actinium steht).|L-Abk. bzw. redirect=#REDIRECT [[Protactinium]]|radioaktiv=[[radioaktiv]]es&amp;nbsp;|hoch=Praseodym|runter=Protactinium|Bild-Element=|Bild-Verwendung=|www= wurde 1917 in England durch Hahn, Meitner entdeckt.|E-Gruppe=|Sonstiges-kurz=|OZ3=091|WL=nichda|Text= }}
[[Kategorie:Chemie]][[Kategorie:Chemikalien]]</v>
      </c>
      <c r="AS92" s="104" t="str">
        <f t="shared" si="19"/>
        <v>{{Element|Ordnungszahl=91|Symbol=Pa|Name=Protactinium|Atommasse=231|EN=1,5|BP=- °C|MP=1230 °C|Dichte=15,37 g/cm³|Ionenradius=89|Ivolt=568,3|Aradius=160,6|Enthalpie=607|IVolt2=-|Wert=7|IVolt3=-|Farbe=silbrig glänzend|Flamme=|Elektronenkonfiguration=[Rn] 7s2 6d1 5f2|EK-Wiki=[Rn] 7s&lt;sup&gt;2&lt;/sup&gt; 6d&lt;sup&gt;1&lt;/sup&gt; 5f&lt;sup&gt;2&lt;/sup&gt;|pre=Thorium|next=Uran|Metall=Metall|E-Name=Protactinium|L-Name=|Verwendung=|Wortherkunft=Das  langlebige  Pa-231  (ca. 32000 Jahre) wurde 1918 von  Otto Hahn und Lise Meitner gefunden, sie nannten  es Protactinium  (das chemische Element, das in der Zerfallsreihe  des Uran-235 vor dem Actinium steht).|L-Abk. bzw. redirect=#REDIRECT [[Protactinium]]|radioaktiv=[[radioaktiv]]es&amp;nbsp;|hoch=Praseodym|runter=Protactinium|Bild-Element=|Bild-Verwendung=|www= wurde 1917 in England durch Hahn, Meitner entdeckt.|E-Gruppe=|Sonstiges-kurz=|OZ3=091|WL=nichda|Text= }}
[[Kategorie:Chemie]][[Kategorie:Chemikalien]]</v>
      </c>
      <c r="AT92" t="str">
        <f t="shared" si="23"/>
        <v xml:space="preserve"> wurde 1917 in England durch Hahn, Meitner entdeckt. http://www.webelements.com/webelements/elements/media/element-pics/Pa.jpg</v>
      </c>
    </row>
    <row r="93" spans="1:46" ht="234.6">
      <c r="A93">
        <v>92</v>
      </c>
      <c r="B93" t="s">
        <v>408</v>
      </c>
      <c r="C93" t="s">
        <v>409</v>
      </c>
      <c r="D93">
        <v>238</v>
      </c>
      <c r="E93">
        <v>1.4</v>
      </c>
      <c r="F93" t="s">
        <v>687</v>
      </c>
      <c r="G93" t="s">
        <v>688</v>
      </c>
      <c r="H93" t="s">
        <v>520</v>
      </c>
      <c r="I93">
        <v>1789</v>
      </c>
      <c r="J93" t="s">
        <v>180</v>
      </c>
      <c r="K93" t="s">
        <v>1120</v>
      </c>
      <c r="L93">
        <v>80</v>
      </c>
      <c r="M93">
        <v>138.5</v>
      </c>
      <c r="N93" s="103">
        <v>597.64</v>
      </c>
      <c r="P93" t="s">
        <v>410</v>
      </c>
      <c r="Q93" s="103" t="s">
        <v>1068</v>
      </c>
      <c r="R93">
        <v>9</v>
      </c>
      <c r="S93" s="103" t="s">
        <v>1068</v>
      </c>
      <c r="T93" t="s">
        <v>1229</v>
      </c>
      <c r="V93" t="s">
        <v>862</v>
      </c>
      <c r="W93" t="s">
        <v>904</v>
      </c>
      <c r="X93" t="str">
        <f t="shared" si="29"/>
        <v>Protactinium</v>
      </c>
      <c r="Y93" t="str">
        <f t="shared" si="24"/>
        <v>Neptunium</v>
      </c>
      <c r="Z93" t="s">
        <v>989</v>
      </c>
      <c r="AA93" s="72" t="s">
        <v>1045</v>
      </c>
      <c r="AB93" s="108"/>
      <c r="AC93" s="72"/>
      <c r="AD93" s="87" t="s">
        <v>277</v>
      </c>
      <c r="AE93" s="87" t="str">
        <f t="shared" si="32"/>
        <v>#REDIRECT [[Uran]]</v>
      </c>
      <c r="AF93" s="46" t="s">
        <v>167</v>
      </c>
      <c r="AG93" t="s">
        <v>317</v>
      </c>
      <c r="AH93" t="str">
        <f t="shared" si="33"/>
        <v>Uran</v>
      </c>
      <c r="AK93" t="str">
        <f t="shared" si="26"/>
        <v xml:space="preserve"> wurde 1789 in Deutschland durch Klaproth entdeckt.</v>
      </c>
      <c r="AN93" t="str">
        <f t="shared" si="31"/>
        <v>092</v>
      </c>
      <c r="AO93" t="s">
        <v>1236</v>
      </c>
      <c r="AP93" s="87" t="str">
        <f t="shared" si="22"/>
        <v>{{Element|Ordnungszahl=92|Symbol=U|Name=Uran|Atommasse=238|EN=1,4|BP=3818 °C|MP=1130 °C|Dichte=18,97 g/cm³|Ionenradius=80|Ivolt=597,64|Aradius=138,5</v>
      </c>
      <c r="AQ93" s="87" t="str">
        <f t="shared" si="27"/>
        <v>|Enthalpie=535.6|IVolt2=-|Wert=9|IVolt3=-|Farbe=silbrig-weiß|Flamme=|Elektronenkonfiguration=[Rn] 7s2 6d1 5f3|EK-Wiki=[Rn] 7s&lt;sup&gt;2&lt;/sup&gt; 6d&lt;sup&gt;1&lt;/sup&gt; 5f3|pre=Protactinium|next=Neptunium|Metall=Metall|E-Name=Uranium|L-Name=</v>
      </c>
      <c r="AR93" s="87" t="str">
        <f t="shared" si="28"/>
        <v>|Verwendung=|Wortherkunft=Uran wurde aus dem Mineral Pechblende isoliert. Es ist nach dem Planeten Uranus benannt, der acht Jahre zuvor (1781) entdeckt worden war.|L-Abk. bzw. redirect=#REDIRECT [[Uran]]|radioaktiv=[[radioaktiv]]es&amp;nbsp;|hoch=Neodym|runter=Uran|Bild-Element=|Bild-Verwendung=|www= wurde 1789 in Deutschland durch Klaproth entdeckt.|E-Gruppe=|Sonstiges-kurz=|OZ3=092|WL=nichda|Text= }}
[[Kategorie:Chemie]][[Kategorie:Chemikalien]]</v>
      </c>
      <c r="AS93" s="104" t="str">
        <f t="shared" si="19"/>
        <v>{{Element|Ordnungszahl=92|Symbol=U|Name=Uran|Atommasse=238|EN=1,4|BP=3818 °C|MP=1130 °C|Dichte=18,97 g/cm³|Ionenradius=80|Ivolt=597,64|Aradius=138,5|Enthalpie=535.6|IVolt2=-|Wert=9|IVolt3=-|Farbe=silbrig-weiß|Flamme=|Elektronenkonfiguration=[Rn] 7s2 6d1 5f3|EK-Wiki=[Rn] 7s&lt;sup&gt;2&lt;/sup&gt; 6d&lt;sup&gt;1&lt;/sup&gt; 5f3|pre=Protactinium|next=Neptunium|Metall=Metall|E-Name=Uranium|L-Name=|Verwendung=|Wortherkunft=Uran wurde aus dem Mineral Pechblende isoliert. Es ist nach dem Planeten Uranus benannt, der acht Jahre zuvor (1781) entdeckt worden war.|L-Abk. bzw. redirect=#REDIRECT [[Uran]]|radioaktiv=[[radioaktiv]]es&amp;nbsp;|hoch=Neodym|runter=Uran|Bild-Element=|Bild-Verwendung=|www= wurde 1789 in Deutschland durch Klaproth entdeckt.|E-Gruppe=|Sonstiges-kurz=|OZ3=092|WL=nichda|Text= }}
[[Kategorie:Chemie]][[Kategorie:Chemikalien]]</v>
      </c>
      <c r="AT93" t="str">
        <f t="shared" si="23"/>
        <v xml:space="preserve"> wurde 1789 in Deutschland durch Klaproth entdeckt. http://www.webelements.com/webelements/elements/media/element-pics/U.jpg</v>
      </c>
    </row>
    <row r="94" spans="1:46" ht="276">
      <c r="A94">
        <v>93</v>
      </c>
      <c r="B94" t="s">
        <v>411</v>
      </c>
      <c r="C94" t="s">
        <v>412</v>
      </c>
      <c r="D94">
        <v>237</v>
      </c>
      <c r="E94">
        <v>1.4</v>
      </c>
      <c r="F94" t="s">
        <v>535</v>
      </c>
      <c r="G94" t="s">
        <v>689</v>
      </c>
      <c r="H94" t="s">
        <v>521</v>
      </c>
      <c r="I94">
        <v>1940</v>
      </c>
      <c r="J94" t="s">
        <v>181</v>
      </c>
      <c r="K94" t="s">
        <v>321</v>
      </c>
      <c r="L94">
        <v>88</v>
      </c>
      <c r="M94">
        <v>131</v>
      </c>
      <c r="N94" s="103">
        <v>604.54999999999995</v>
      </c>
      <c r="P94">
        <v>0</v>
      </c>
      <c r="Q94" s="103" t="s">
        <v>1068</v>
      </c>
      <c r="R94">
        <v>9</v>
      </c>
      <c r="S94" s="103" t="s">
        <v>1068</v>
      </c>
      <c r="T94" t="s">
        <v>1227</v>
      </c>
      <c r="V94" t="s">
        <v>863</v>
      </c>
      <c r="W94" t="s">
        <v>961</v>
      </c>
      <c r="X94" t="str">
        <f t="shared" si="29"/>
        <v>Uran</v>
      </c>
      <c r="Y94" t="str">
        <f t="shared" si="24"/>
        <v>Plutonium</v>
      </c>
      <c r="Z94" t="s">
        <v>989</v>
      </c>
      <c r="AA94" s="72" t="s">
        <v>412</v>
      </c>
      <c r="AB94" s="108"/>
      <c r="AC94" s="72"/>
      <c r="AD94" s="87" t="s">
        <v>278</v>
      </c>
      <c r="AE94" s="87" t="str">
        <f t="shared" si="32"/>
        <v>#REDIRECT [[Neptunium]]</v>
      </c>
      <c r="AF94" s="46" t="s">
        <v>167</v>
      </c>
      <c r="AG94" t="s">
        <v>320</v>
      </c>
      <c r="AH94" t="str">
        <f t="shared" si="33"/>
        <v>Neptunium</v>
      </c>
      <c r="AK94" t="str">
        <f t="shared" si="26"/>
        <v xml:space="preserve"> wurde 1940 in USA durch McMillan, Abelson entdeckt.</v>
      </c>
      <c r="AN94" t="str">
        <f t="shared" si="31"/>
        <v>093</v>
      </c>
      <c r="AO94" t="s">
        <v>1236</v>
      </c>
      <c r="AP94" s="87" t="str">
        <f t="shared" si="22"/>
        <v>{{Element|Ordnungszahl=93|Symbol=Np|Name=Neptunium|Atommasse=237|EN=1,4|BP=3900 °C|MP=640 °C|Dichte=20,48 g/cm³|Ionenradius=88|Ivolt=604,55|Aradius=131</v>
      </c>
      <c r="AQ94" s="87" t="str">
        <f t="shared" si="27"/>
        <v>|Enthalpie=0|IVolt2=-|Wert=9|IVolt3=-|Farbe=silbrig|Flamme=|Elektronenkonfiguration=[Rn] 7s2 6d1 5f4|EK-Wiki=[Rn] 7s&lt;sup&gt;2&lt;/sup&gt; 6d&lt;sup&gt;1&lt;/sup&gt; 5f&lt;sup&gt;4&lt;/sup&gt;|pre=Uran|next=Plutonium|Metall=Metall|E-Name=Neptunium|L-Name=</v>
      </c>
      <c r="AR94" s="87" t="str">
        <f t="shared" si="28"/>
        <v>|Verwendung=|Wortherkunft=Neptunium wurde benannt nach dem Planeten Neptun, der auf den Planeten Uranus folgt. Neptunium folgt im Periodensystem auf Uran, dann folgt Plutonium.|L-Abk. bzw. redirect=#REDIRECT [[Neptunium]]|radioaktiv=[[radioaktiv]]es&amp;nbsp;|hoch=Promethium|runter=Neptunium|Bild-Element=|Bild-Verwendung=|www= wurde 1940 in USA durch McMillan, Abelson entdeckt.|E-Gruppe=|Sonstiges-kurz=|OZ3=093|WL=nichda|Text= }}
[[Kategorie:Chemie]][[Kategorie:Chemikalien]]</v>
      </c>
      <c r="AS94" s="104" t="str">
        <f t="shared" si="19"/>
        <v>{{Element|Ordnungszahl=93|Symbol=Np|Name=Neptunium|Atommasse=237|EN=1,4|BP=3900 °C|MP=640 °C|Dichte=20,48 g/cm³|Ionenradius=88|Ivolt=604,55|Aradius=131|Enthalpie=0|IVolt2=-|Wert=9|IVolt3=-|Farbe=silbrig|Flamme=|Elektronenkonfiguration=[Rn] 7s2 6d1 5f4|EK-Wiki=[Rn] 7s&lt;sup&gt;2&lt;/sup&gt; 6d&lt;sup&gt;1&lt;/sup&gt; 5f&lt;sup&gt;4&lt;/sup&gt;|pre=Uran|next=Plutonium|Metall=Metall|E-Name=Neptunium|L-Name=|Verwendung=|Wortherkunft=Neptunium wurde benannt nach dem Planeten Neptun, der auf den Planeten Uranus folgt. Neptunium folgt im Periodensystem auf Uran, dann folgt Plutonium.|L-Abk. bzw. redirect=#REDIRECT [[Neptunium]]|radioaktiv=[[radioaktiv]]es&amp;nbsp;|hoch=Promethium|runter=Neptunium|Bild-Element=|Bild-Verwendung=|www= wurde 1940 in USA durch McMillan, Abelson entdeckt.|E-Gruppe=|Sonstiges-kurz=|OZ3=093|WL=nichda|Text= }}
[[Kategorie:Chemie]][[Kategorie:Chemikalien]]</v>
      </c>
      <c r="AT94" t="str">
        <f t="shared" si="23"/>
        <v xml:space="preserve"> wurde 1940 in USA durch McMillan, Abelson entdeckt. http://www.webelements.com/webelements/elements/media/element-pics/Np.jpg</v>
      </c>
    </row>
    <row r="95" spans="1:46" ht="262.2">
      <c r="A95">
        <v>94</v>
      </c>
      <c r="B95" t="s">
        <v>413</v>
      </c>
      <c r="C95" t="s">
        <v>414</v>
      </c>
      <c r="D95">
        <v>244</v>
      </c>
      <c r="E95">
        <v>1.3</v>
      </c>
      <c r="F95" t="s">
        <v>690</v>
      </c>
      <c r="G95" t="s">
        <v>689</v>
      </c>
      <c r="H95" t="s">
        <v>522</v>
      </c>
      <c r="I95">
        <v>1940</v>
      </c>
      <c r="J95" t="s">
        <v>182</v>
      </c>
      <c r="K95" t="s">
        <v>321</v>
      </c>
      <c r="L95">
        <v>87</v>
      </c>
      <c r="M95">
        <v>151</v>
      </c>
      <c r="N95" s="103">
        <v>581.44000000000005</v>
      </c>
      <c r="P95">
        <v>0</v>
      </c>
      <c r="Q95" s="103" t="s">
        <v>1068</v>
      </c>
      <c r="R95">
        <v>10</v>
      </c>
      <c r="S95" s="103" t="s">
        <v>1068</v>
      </c>
      <c r="T95" t="s">
        <v>1231</v>
      </c>
      <c r="V95" t="s">
        <v>851</v>
      </c>
      <c r="W95" t="s">
        <v>964</v>
      </c>
      <c r="X95" t="str">
        <f t="shared" si="29"/>
        <v>Neptunium</v>
      </c>
      <c r="Y95" t="str">
        <f t="shared" si="24"/>
        <v>Americium</v>
      </c>
      <c r="Z95" t="s">
        <v>989</v>
      </c>
      <c r="AA95" s="72" t="s">
        <v>414</v>
      </c>
      <c r="AB95" s="108"/>
      <c r="AC95" s="72"/>
      <c r="AD95" s="87" t="s">
        <v>279</v>
      </c>
      <c r="AE95" s="87" t="str">
        <f t="shared" si="32"/>
        <v>#REDIRECT [[Plutonium]]</v>
      </c>
      <c r="AF95" s="46" t="s">
        <v>167</v>
      </c>
      <c r="AG95" t="s">
        <v>323</v>
      </c>
      <c r="AH95" t="str">
        <f t="shared" si="33"/>
        <v>Plutonium</v>
      </c>
      <c r="AK95" t="str">
        <f t="shared" si="26"/>
        <v xml:space="preserve"> wurde 1940 in USA durch Seaborg, McMillan entdeckt.</v>
      </c>
      <c r="AN95" t="str">
        <f t="shared" si="31"/>
        <v>094</v>
      </c>
      <c r="AO95" t="s">
        <v>1236</v>
      </c>
      <c r="AP95" s="87" t="str">
        <f t="shared" si="22"/>
        <v>{{Element|Ordnungszahl=94|Symbol=Pu|Name=Plutonium|Atommasse=244|EN=1,3|BP=3235 °C|MP=640 °C|Dichte=19,74 g/cm³|Ionenradius=87|Ivolt=581,44|Aradius=151</v>
      </c>
      <c r="AQ95" s="87" t="str">
        <f t="shared" si="27"/>
        <v>|Enthalpie=0|IVolt2=-|Wert=10|IVolt3=-|Farbe=silbrigweiß|Flamme=|Elektronenkonfiguration=[Rn] 7s2 5f6|EK-Wiki=[Rn] 7s&lt;sup&gt;2&lt;/sup&gt; 5f&lt;sup&gt;6&lt;/sup&gt;|pre=Neptunium|next=Americium|Metall=Metall|E-Name=Plutonium|L-Name=</v>
      </c>
      <c r="AR95" s="87" t="str">
        <f t="shared" si="28"/>
        <v>|Verwendung=|Wortherkunft=Plutonium wurde nach dem Planeten Pluto benannt, der auf den Planeten Neptun folgt, Plutonium folgt im Periodensystem auf Neptunium.|L-Abk. bzw. redirect=#REDIRECT [[Plutonium]]|radioaktiv=[[radioaktiv]]es&amp;nbsp;|hoch=Samarium|runter=Plutonium|Bild-Element=|Bild-Verwendung=|www= wurde 1940 in USA durch Seaborg, McMillan entdeckt.|E-Gruppe=|Sonstiges-kurz=|OZ3=094|WL=nichda|Text= }}
[[Kategorie:Chemie]][[Kategorie:Chemikalien]]</v>
      </c>
      <c r="AS95" s="104" t="str">
        <f t="shared" si="19"/>
        <v>{{Element|Ordnungszahl=94|Symbol=Pu|Name=Plutonium|Atommasse=244|EN=1,3|BP=3235 °C|MP=640 °C|Dichte=19,74 g/cm³|Ionenradius=87|Ivolt=581,44|Aradius=151|Enthalpie=0|IVolt2=-|Wert=10|IVolt3=-|Farbe=silbrigweiß|Flamme=|Elektronenkonfiguration=[Rn] 7s2 5f6|EK-Wiki=[Rn] 7s&lt;sup&gt;2&lt;/sup&gt; 5f&lt;sup&gt;6&lt;/sup&gt;|pre=Neptunium|next=Americium|Metall=Metall|E-Name=Plutonium|L-Name=|Verwendung=|Wortherkunft=Plutonium wurde nach dem Planeten Pluto benannt, der auf den Planeten Neptun folgt, Plutonium folgt im Periodensystem auf Neptunium.|L-Abk. bzw. redirect=#REDIRECT [[Plutonium]]|radioaktiv=[[radioaktiv]]es&amp;nbsp;|hoch=Samarium|runter=Plutonium|Bild-Element=|Bild-Verwendung=|www= wurde 1940 in USA durch Seaborg, McMillan entdeckt.|E-Gruppe=|Sonstiges-kurz=|OZ3=094|WL=nichda|Text= }}
[[Kategorie:Chemie]][[Kategorie:Chemikalien]]</v>
      </c>
      <c r="AT95" t="str">
        <f t="shared" si="23"/>
        <v xml:space="preserve"> wurde 1940 in USA durch Seaborg, McMillan entdeckt. http://www.webelements.com/webelements/elements/media/element-pics/Pu.jpg</v>
      </c>
    </row>
    <row r="96" spans="1:46" ht="234.6">
      <c r="A96">
        <v>95</v>
      </c>
      <c r="B96" t="s">
        <v>415</v>
      </c>
      <c r="C96" t="s">
        <v>416</v>
      </c>
      <c r="D96">
        <v>243</v>
      </c>
      <c r="E96">
        <v>1.1000000000000001</v>
      </c>
      <c r="F96" t="s">
        <v>579</v>
      </c>
      <c r="G96" t="s">
        <v>691</v>
      </c>
      <c r="H96" t="s">
        <v>523</v>
      </c>
      <c r="I96">
        <v>1945</v>
      </c>
      <c r="J96" t="s">
        <v>183</v>
      </c>
      <c r="K96" t="s">
        <v>321</v>
      </c>
      <c r="L96">
        <v>92</v>
      </c>
      <c r="M96">
        <v>184</v>
      </c>
      <c r="N96" s="103">
        <v>576.39</v>
      </c>
      <c r="P96">
        <v>0</v>
      </c>
      <c r="Q96" s="103" t="s">
        <v>1068</v>
      </c>
      <c r="R96">
        <v>5</v>
      </c>
      <c r="S96" s="103" t="s">
        <v>1068</v>
      </c>
      <c r="T96" t="s">
        <v>1224</v>
      </c>
      <c r="V96" t="s">
        <v>852</v>
      </c>
      <c r="W96" t="s">
        <v>967</v>
      </c>
      <c r="X96" t="str">
        <f t="shared" si="29"/>
        <v>Plutonium</v>
      </c>
      <c r="Y96" t="str">
        <f t="shared" si="24"/>
        <v>Curium</v>
      </c>
      <c r="Z96" t="s">
        <v>989</v>
      </c>
      <c r="AA96" s="72" t="s">
        <v>416</v>
      </c>
      <c r="AB96" s="108"/>
      <c r="AC96" s="72"/>
      <c r="AD96" s="87" t="s">
        <v>280</v>
      </c>
      <c r="AE96" s="87" t="str">
        <f t="shared" si="32"/>
        <v>#REDIRECT [[Americium]]</v>
      </c>
      <c r="AF96" s="46" t="s">
        <v>167</v>
      </c>
      <c r="AG96" t="s">
        <v>326</v>
      </c>
      <c r="AH96" t="str">
        <f t="shared" si="33"/>
        <v>Americium</v>
      </c>
      <c r="AK96" t="str">
        <f t="shared" si="26"/>
        <v xml:space="preserve"> wurde 1945 in USA durch Seaborg, James, Morg entdeckt.</v>
      </c>
      <c r="AN96" t="str">
        <f t="shared" si="31"/>
        <v>095</v>
      </c>
      <c r="AO96" t="s">
        <v>1235</v>
      </c>
      <c r="AP96" s="87" t="str">
        <f t="shared" si="22"/>
        <v>{{Element|Ordnungszahl=95|Symbol=Am|Name=Americium|Atommasse=243|EN=1,1|BP=2600 °C|MP=850 °C|Dichte=13,67 g/cm³|Ionenradius=92|Ivolt=576,39|Aradius=184</v>
      </c>
      <c r="AQ96" s="87" t="str">
        <f t="shared" si="27"/>
        <v>|Enthalpie=0|IVolt2=-|Wert=5|IVolt3=-|Farbe=silbrig weiß|Flamme=|Elektronenkonfiguration=[Rn] 7s2 5f7|EK-Wiki=[Rn] 7s&lt;sup&gt;2&lt;/sup&gt; 5f&lt;sup&gt;7&lt;/sup&gt;|pre=Plutonium|next=Curium|Metall=Metall|E-Name=Americium|L-Name=</v>
      </c>
      <c r="AR96" s="87" t="str">
        <f t="shared" si="28"/>
        <v>|Verwendung=|Wortherkunft=Americium nach einem Erdteil benannte Element.|L-Abk. bzw. redirect=#REDIRECT [[Americium]]|radioaktiv=[[radioaktiv]]es&amp;nbsp;|hoch=Europium|runter=Americium|Bild-Element=|Bild-Verwendung=|www= wurde 1945 in USA durch Seaborg, James, Morg entdeckt.|E-Gruppe=|Sonstiges-kurz=|OZ3=095|WL=Sammlung|Text= }}
[[Kategorie:Chemie]][[Kategorie:Chemikalien]]</v>
      </c>
      <c r="AS96" s="104" t="str">
        <f t="shared" si="19"/>
        <v>{{Element|Ordnungszahl=95|Symbol=Am|Name=Americium|Atommasse=243|EN=1,1|BP=2600 °C|MP=850 °C|Dichte=13,67 g/cm³|Ionenradius=92|Ivolt=576,39|Aradius=184|Enthalpie=0|IVolt2=-|Wert=5|IVolt3=-|Farbe=silbrig weiß|Flamme=|Elektronenkonfiguration=[Rn] 7s2 5f7|EK-Wiki=[Rn] 7s&lt;sup&gt;2&lt;/sup&gt; 5f&lt;sup&gt;7&lt;/sup&gt;|pre=Plutonium|next=Curium|Metall=Metall|E-Name=Americium|L-Name=|Verwendung=|Wortherkunft=Americium nach einem Erdteil benannte Element.|L-Abk. bzw. redirect=#REDIRECT [[Americium]]|radioaktiv=[[radioaktiv]]es&amp;nbsp;|hoch=Europium|runter=Americium|Bild-Element=|Bild-Verwendung=|www= wurde 1945 in USA durch Seaborg, James, Morg entdeckt.|E-Gruppe=|Sonstiges-kurz=|OZ3=095|WL=Sammlung|Text= }}
[[Kategorie:Chemie]][[Kategorie:Chemikalien]]</v>
      </c>
      <c r="AT96" t="str">
        <f t="shared" si="23"/>
        <v xml:space="preserve"> wurde 1945 in USA durch Seaborg, James, Morg entdeckt. http://www.webelements.com/webelements/elements/media/element-pics/Am.jpg</v>
      </c>
    </row>
    <row r="97" spans="1:46" ht="248.4">
      <c r="A97">
        <v>96</v>
      </c>
      <c r="B97" t="s">
        <v>417</v>
      </c>
      <c r="C97" t="s">
        <v>418</v>
      </c>
      <c r="D97">
        <v>247</v>
      </c>
      <c r="E97">
        <v>1.3</v>
      </c>
      <c r="F97" t="s">
        <v>692</v>
      </c>
      <c r="G97" t="s">
        <v>693</v>
      </c>
      <c r="H97" t="s">
        <v>524</v>
      </c>
      <c r="I97">
        <v>1944</v>
      </c>
      <c r="J97" t="s">
        <v>184</v>
      </c>
      <c r="K97" t="s">
        <v>321</v>
      </c>
      <c r="L97">
        <v>88</v>
      </c>
      <c r="M97" t="s">
        <v>1016</v>
      </c>
      <c r="N97" s="103">
        <v>580.85</v>
      </c>
      <c r="P97">
        <v>0</v>
      </c>
      <c r="Q97" s="103" t="s">
        <v>1068</v>
      </c>
      <c r="R97">
        <v>3</v>
      </c>
      <c r="S97" s="103" t="s">
        <v>1068</v>
      </c>
      <c r="T97" t="s">
        <v>1224</v>
      </c>
      <c r="V97" t="s">
        <v>864</v>
      </c>
      <c r="W97" t="s">
        <v>968</v>
      </c>
      <c r="X97" t="str">
        <f t="shared" si="29"/>
        <v>Americium</v>
      </c>
      <c r="Y97" t="str">
        <f t="shared" si="24"/>
        <v>Berkelium</v>
      </c>
      <c r="Z97" t="s">
        <v>989</v>
      </c>
      <c r="AA97" s="72" t="s">
        <v>418</v>
      </c>
      <c r="AB97" s="108"/>
      <c r="AC97" s="72"/>
      <c r="AD97" s="87" t="s">
        <v>281</v>
      </c>
      <c r="AE97" s="87" t="str">
        <f t="shared" si="32"/>
        <v>#REDIRECT [[Curium]]</v>
      </c>
      <c r="AF97" s="46" t="s">
        <v>167</v>
      </c>
      <c r="AG97" t="s">
        <v>329</v>
      </c>
      <c r="AH97" t="str">
        <f t="shared" si="33"/>
        <v>Curium</v>
      </c>
      <c r="AK97" t="str">
        <f t="shared" si="26"/>
        <v xml:space="preserve"> wurde 1944 in USA durch Seaborg, James, Ghio entdeckt.</v>
      </c>
      <c r="AN97" t="str">
        <f t="shared" si="31"/>
        <v>096</v>
      </c>
      <c r="AO97" t="s">
        <v>1236</v>
      </c>
      <c r="AP97" s="87" t="str">
        <f t="shared" si="22"/>
        <v xml:space="preserve">{{Element|Ordnungszahl=96|Symbol=Cm|Name=Curium|Atommasse=247|EN=1,3|BP=3100 °C|MP=1343 °C|Dichte=13,51 g/cm³|Ionenradius=88|Ivolt=580,85|Aradius= </v>
      </c>
      <c r="AQ97" s="87" t="str">
        <f t="shared" si="27"/>
        <v>|Enthalpie=0|IVolt2=-|Wert=3|IVolt3=-|Farbe=silbrig weiß|Flamme=|Elektronenkonfiguration=[Rn] 7s2 6d1 5f7|EK-Wiki=[Rn] 7s&lt;sup&gt;2&lt;/sup&gt; 6d&lt;sup&gt;1&lt;/sup&gt; 5f&lt;sup&gt;7&lt;/sup&gt;|pre=Americium|next=Berkelium|Metall=Metall|E-Name=Curium|L-Name=</v>
      </c>
      <c r="AR97" s="87" t="str">
        <f t="shared" si="28"/>
        <v>|Verwendung=|Wortherkunft=Curium wurde nach den Forschern Marie und Pierre Curie benannt.|L-Abk. bzw. redirect=#REDIRECT [[Curium]]|radioaktiv=[[radioaktiv]]es&amp;nbsp;|hoch=Gadolinium|runter=Curium|Bild-Element=|Bild-Verwendung=|www= wurde 1944 in USA durch Seaborg, James, Ghio entdeckt.|E-Gruppe=|Sonstiges-kurz=|OZ3=096|WL=nichda|Text= }}
[[Kategorie:Chemie]][[Kategorie:Chemikalien]]</v>
      </c>
      <c r="AS97" s="104" t="str">
        <f t="shared" si="19"/>
        <v>{{Element|Ordnungszahl=96|Symbol=Cm|Name=Curium|Atommasse=247|EN=1,3|BP=3100 °C|MP=1343 °C|Dichte=13,51 g/cm³|Ionenradius=88|Ivolt=580,85|Aradius= |Enthalpie=0|IVolt2=-|Wert=3|IVolt3=-|Farbe=silbrig weiß|Flamme=|Elektronenkonfiguration=[Rn] 7s2 6d1 5f7|EK-Wiki=[Rn] 7s&lt;sup&gt;2&lt;/sup&gt; 6d&lt;sup&gt;1&lt;/sup&gt; 5f&lt;sup&gt;7&lt;/sup&gt;|pre=Americium|next=Berkelium|Metall=Metall|E-Name=Curium|L-Name=|Verwendung=|Wortherkunft=Curium wurde nach den Forschern Marie und Pierre Curie benannt.|L-Abk. bzw. redirect=#REDIRECT [[Curium]]|radioaktiv=[[radioaktiv]]es&amp;nbsp;|hoch=Gadolinium|runter=Curium|Bild-Element=|Bild-Verwendung=|www= wurde 1944 in USA durch Seaborg, James, Ghio entdeckt.|E-Gruppe=|Sonstiges-kurz=|OZ3=096|WL=nichda|Text= }}
[[Kategorie:Chemie]][[Kategorie:Chemikalien]]</v>
      </c>
      <c r="AT97" t="str">
        <f t="shared" si="23"/>
        <v xml:space="preserve"> wurde 1944 in USA durch Seaborg, James, Ghio entdeckt. http://www.webelements.com/webelements/elements/media/element-pics/Cm.jpg</v>
      </c>
    </row>
    <row r="98" spans="1:46" ht="248.4">
      <c r="A98">
        <v>97</v>
      </c>
      <c r="B98" t="s">
        <v>419</v>
      </c>
      <c r="C98" t="s">
        <v>420</v>
      </c>
      <c r="D98">
        <v>247</v>
      </c>
      <c r="E98">
        <v>1.3</v>
      </c>
      <c r="F98" t="s">
        <v>1016</v>
      </c>
      <c r="G98" t="s">
        <v>694</v>
      </c>
      <c r="H98" t="s">
        <v>525</v>
      </c>
      <c r="I98">
        <v>1949</v>
      </c>
      <c r="J98" t="s">
        <v>185</v>
      </c>
      <c r="K98" t="s">
        <v>321</v>
      </c>
      <c r="L98">
        <v>87</v>
      </c>
      <c r="M98" t="s">
        <v>1016</v>
      </c>
      <c r="N98" s="103">
        <v>601.11</v>
      </c>
      <c r="P98">
        <v>0</v>
      </c>
      <c r="Q98" s="103" t="s">
        <v>1068</v>
      </c>
      <c r="R98">
        <v>7</v>
      </c>
      <c r="S98" s="103" t="s">
        <v>1068</v>
      </c>
      <c r="T98" t="s">
        <v>1228</v>
      </c>
      <c r="V98" t="s">
        <v>853</v>
      </c>
      <c r="W98" t="s">
        <v>970</v>
      </c>
      <c r="X98" t="str">
        <f t="shared" si="29"/>
        <v>Curium</v>
      </c>
      <c r="Y98" t="str">
        <f t="shared" si="24"/>
        <v>Californium</v>
      </c>
      <c r="Z98" t="s">
        <v>989</v>
      </c>
      <c r="AA98" s="72" t="s">
        <v>420</v>
      </c>
      <c r="AB98" s="108"/>
      <c r="AC98" s="72"/>
      <c r="AD98" s="87" t="s">
        <v>282</v>
      </c>
      <c r="AE98" s="87" t="str">
        <f t="shared" si="32"/>
        <v>#REDIRECT [[Berkelium]]</v>
      </c>
      <c r="AF98" s="46" t="s">
        <v>167</v>
      </c>
      <c r="AG98" t="s">
        <v>333</v>
      </c>
      <c r="AH98" t="str">
        <f t="shared" si="33"/>
        <v>Berkelium</v>
      </c>
      <c r="AK98" t="str">
        <f t="shared" si="26"/>
        <v xml:space="preserve"> wurde 1949 in USA durch Seaborg, Thomson entdeckt.</v>
      </c>
      <c r="AN98" t="str">
        <f t="shared" si="31"/>
        <v>097</v>
      </c>
      <c r="AO98" t="s">
        <v>1236</v>
      </c>
      <c r="AP98" s="87" t="str">
        <f t="shared" ref="AP98:AP118" si="34">CONCATENATE("{{Element|Ordnungszahl=",A98,"|Symbol=",B98,"|Name=",C98,"|Atommasse=",D98,"|EN=",E98,"|BP=",F98,"|MP=",G98,"|Dichte=",H98,"|Ionenradius=",L98,"|Ivolt=",N98,"|Aradius=",M98)</f>
        <v xml:space="preserve">{{Element|Ordnungszahl=97|Symbol=Bk|Name=Berkelium|Atommasse=247|EN=1,3|BP= |MP=986 °C|Dichte=13,25 g/cm³|Ionenradius=87|Ivolt=601,11|Aradius= </v>
      </c>
      <c r="AQ98" s="87" t="str">
        <f t="shared" si="27"/>
        <v>|Enthalpie=0|IVolt2=-|Wert=7|IVolt3=-|Farbe=silbrig glänzend|Flamme=|Elektronenkonfiguration=[Rn] 7s2 5f9|EK-Wiki=[Rn] 7s&lt;sup&gt;2&lt;/sup&gt; 5f&lt;sup&gt;9&lt;/sup&gt;|pre=Curium|next=Californium|Metall=Metall|E-Name=Berkelium|L-Name=</v>
      </c>
      <c r="AR98" s="87" t="str">
        <f t="shared" si="28"/>
        <v>|Verwendung=|Wortherkunft=Berkelium wurde nach der Stadt Berkeley in Kalifornien benannt, wo es 1949 an der University of California entdeckt wurde.|L-Abk. bzw. redirect=#REDIRECT [[Berkelium]]|radioaktiv=[[radioaktiv]]es&amp;nbsp;|hoch=Terbium|runter=Berkelium|Bild-Element=|Bild-Verwendung=|www= wurde 1949 in USA durch Seaborg, Thomson entdeckt.|E-Gruppe=|Sonstiges-kurz=|OZ3=097|WL=nichda|Text= }}
[[Kategorie:Chemie]][[Kategorie:Chemikalien]]</v>
      </c>
      <c r="AS98" s="104" t="str">
        <f t="shared" si="19"/>
        <v>{{Element|Ordnungszahl=97|Symbol=Bk|Name=Berkelium|Atommasse=247|EN=1,3|BP= |MP=986 °C|Dichte=13,25 g/cm³|Ionenradius=87|Ivolt=601,11|Aradius= |Enthalpie=0|IVolt2=-|Wert=7|IVolt3=-|Farbe=silbrig glänzend|Flamme=|Elektronenkonfiguration=[Rn] 7s2 5f9|EK-Wiki=[Rn] 7s&lt;sup&gt;2&lt;/sup&gt; 5f&lt;sup&gt;9&lt;/sup&gt;|pre=Curium|next=Californium|Metall=Metall|E-Name=Berkelium|L-Name=|Verwendung=|Wortherkunft=Berkelium wurde nach der Stadt Berkeley in Kalifornien benannt, wo es 1949 an der University of California entdeckt wurde.|L-Abk. bzw. redirect=#REDIRECT [[Berkelium]]|radioaktiv=[[radioaktiv]]es&amp;nbsp;|hoch=Terbium|runter=Berkelium|Bild-Element=|Bild-Verwendung=|www= wurde 1949 in USA durch Seaborg, Thomson entdeckt.|E-Gruppe=|Sonstiges-kurz=|OZ3=097|WL=nichda|Text= }}
[[Kategorie:Chemie]][[Kategorie:Chemikalien]]</v>
      </c>
      <c r="AT98" t="str">
        <f t="shared" ref="AT98:AT119" si="35">CONCATENATE(AK98," http://www.webelements.com/webelements/elements/media/element-pics/",B98,".jpg")</f>
        <v xml:space="preserve"> wurde 1949 in USA durch Seaborg, Thomson entdeckt. http://www.webelements.com/webelements/elements/media/element-pics/Bk.jpg</v>
      </c>
    </row>
    <row r="99" spans="1:46" ht="248.4">
      <c r="A99">
        <v>98</v>
      </c>
      <c r="B99" t="s">
        <v>421</v>
      </c>
      <c r="C99" t="s">
        <v>422</v>
      </c>
      <c r="D99">
        <v>251</v>
      </c>
      <c r="E99">
        <v>1.3</v>
      </c>
      <c r="F99" t="s">
        <v>1016</v>
      </c>
      <c r="G99" t="s">
        <v>695</v>
      </c>
      <c r="H99" t="s">
        <v>526</v>
      </c>
      <c r="I99">
        <v>1950</v>
      </c>
      <c r="J99" t="s">
        <v>186</v>
      </c>
      <c r="K99" t="s">
        <v>321</v>
      </c>
      <c r="L99">
        <v>86</v>
      </c>
      <c r="M99" t="s">
        <v>1016</v>
      </c>
      <c r="N99" s="103">
        <v>607.86</v>
      </c>
      <c r="P99">
        <v>0</v>
      </c>
      <c r="Q99" s="103" t="s">
        <v>1068</v>
      </c>
      <c r="R99">
        <v>3</v>
      </c>
      <c r="S99" s="103" t="s">
        <v>1068</v>
      </c>
      <c r="T99" t="s">
        <v>1228</v>
      </c>
      <c r="V99" t="s">
        <v>854</v>
      </c>
      <c r="W99" t="s">
        <v>937</v>
      </c>
      <c r="X99" t="str">
        <f t="shared" si="29"/>
        <v>Berkelium</v>
      </c>
      <c r="Y99" t="str">
        <f t="shared" si="24"/>
        <v>Einsteinium</v>
      </c>
      <c r="Z99" t="s">
        <v>989</v>
      </c>
      <c r="AA99" s="72" t="s">
        <v>422</v>
      </c>
      <c r="AB99" s="108"/>
      <c r="AC99" s="72"/>
      <c r="AD99" s="87" t="s">
        <v>283</v>
      </c>
      <c r="AE99" s="87" t="str">
        <f t="shared" si="32"/>
        <v>#REDIRECT [[Californium]]</v>
      </c>
      <c r="AF99" s="46" t="s">
        <v>167</v>
      </c>
      <c r="AG99" t="s">
        <v>336</v>
      </c>
      <c r="AH99" t="str">
        <f t="shared" si="33"/>
        <v>Californium</v>
      </c>
      <c r="AK99" t="str">
        <f t="shared" si="26"/>
        <v xml:space="preserve"> wurde 1950 in USA durch Seaborg,Thomson entdeckt.</v>
      </c>
      <c r="AN99" t="str">
        <f t="shared" si="31"/>
        <v>098</v>
      </c>
      <c r="AO99" t="s">
        <v>1236</v>
      </c>
      <c r="AP99" s="87" t="str">
        <f t="shared" si="34"/>
        <v xml:space="preserve">{{Element|Ordnungszahl=98|Symbol=Cf|Name=Californium|Atommasse=251|EN=1,3|BP= |MP=900 °C|Dichte=15,1 g/cm³|Ionenradius=86|Ivolt=607,86|Aradius= </v>
      </c>
      <c r="AQ99" s="87" t="str">
        <f t="shared" si="27"/>
        <v>|Enthalpie=0|IVolt2=-|Wert=3|IVolt3=-|Farbe=silbrig glänzend|Flamme=|Elektronenkonfiguration=[Rn] 7s2 5f10|EK-Wiki=[Rn] 7s&lt;sup&gt;2&lt;/sup&gt; 5f&lt;sup&gt;10&lt;/sup&gt;|pre=Berkelium|next=Einsteinium|Metall=Metall|E-Name=Californium|L-Name=</v>
      </c>
      <c r="AR99" s="87" t="str">
        <f t="shared" si="28"/>
        <v>|Verwendung=|Wortherkunft=Californium wurde erstmalig an der University of California in Berkeley (Kalifornien) erzeugt.|L-Abk. bzw. redirect=#REDIRECT [[Californium]]|radioaktiv=[[radioaktiv]]es&amp;nbsp;|hoch=Dysprosium|runter=Californium|Bild-Element=|Bild-Verwendung=|www= wurde 1950 in USA durch Seaborg,Thomson entdeckt.|E-Gruppe=|Sonstiges-kurz=|OZ3=098|WL=nichda|Text= }}
[[Kategorie:Chemie]][[Kategorie:Chemikalien]]</v>
      </c>
      <c r="AS99" s="104" t="str">
        <f t="shared" si="19"/>
        <v>{{Element|Ordnungszahl=98|Symbol=Cf|Name=Californium|Atommasse=251|EN=1,3|BP= |MP=900 °C|Dichte=15,1 g/cm³|Ionenradius=86|Ivolt=607,86|Aradius= |Enthalpie=0|IVolt2=-|Wert=3|IVolt3=-|Farbe=silbrig glänzend|Flamme=|Elektronenkonfiguration=[Rn] 7s2 5f10|EK-Wiki=[Rn] 7s&lt;sup&gt;2&lt;/sup&gt; 5f&lt;sup&gt;10&lt;/sup&gt;|pre=Berkelium|next=Einsteinium|Metall=Metall|E-Name=Californium|L-Name=|Verwendung=|Wortherkunft=Californium wurde erstmalig an der University of California in Berkeley (Kalifornien) erzeugt.|L-Abk. bzw. redirect=#REDIRECT [[Californium]]|radioaktiv=[[radioaktiv]]es&amp;nbsp;|hoch=Dysprosium|runter=Californium|Bild-Element=|Bild-Verwendung=|www= wurde 1950 in USA durch Seaborg,Thomson entdeckt.|E-Gruppe=|Sonstiges-kurz=|OZ3=098|WL=nichda|Text= }}
[[Kategorie:Chemie]][[Kategorie:Chemikalien]]</v>
      </c>
      <c r="AT99" t="str">
        <f t="shared" si="35"/>
        <v xml:space="preserve"> wurde 1950 in USA durch Seaborg,Thomson entdeckt. http://www.webelements.com/webelements/elements/media/element-pics/Cf.jpg</v>
      </c>
    </row>
    <row r="100" spans="1:46" ht="248.4">
      <c r="A100">
        <v>99</v>
      </c>
      <c r="B100" t="s">
        <v>423</v>
      </c>
      <c r="C100" t="s">
        <v>424</v>
      </c>
      <c r="D100">
        <v>254</v>
      </c>
      <c r="E100">
        <v>1.3</v>
      </c>
      <c r="F100" t="s">
        <v>1016</v>
      </c>
      <c r="G100" t="s">
        <v>696</v>
      </c>
      <c r="H100" t="s">
        <v>1016</v>
      </c>
      <c r="I100">
        <v>1954</v>
      </c>
      <c r="J100" t="s">
        <v>187</v>
      </c>
      <c r="K100" t="s">
        <v>321</v>
      </c>
      <c r="L100">
        <v>85</v>
      </c>
      <c r="M100" t="s">
        <v>1016</v>
      </c>
      <c r="N100" s="103">
        <v>619.44000000000005</v>
      </c>
      <c r="P100">
        <v>0</v>
      </c>
      <c r="Q100" s="103" t="s">
        <v>1068</v>
      </c>
      <c r="S100" s="103" t="s">
        <v>1068</v>
      </c>
      <c r="T100" t="s">
        <v>1228</v>
      </c>
      <c r="V100" t="s">
        <v>855</v>
      </c>
      <c r="W100" t="s">
        <v>971</v>
      </c>
      <c r="X100" t="str">
        <f t="shared" ref="X100:X119" si="36">C99</f>
        <v>Californium</v>
      </c>
      <c r="Y100" t="str">
        <f t="shared" si="24"/>
        <v>Fermium</v>
      </c>
      <c r="Z100" t="s">
        <v>989</v>
      </c>
      <c r="AA100" s="72" t="s">
        <v>424</v>
      </c>
      <c r="AB100" s="108"/>
      <c r="AC100" s="72"/>
      <c r="AD100" s="87" t="s">
        <v>284</v>
      </c>
      <c r="AE100" s="87" t="str">
        <f t="shared" si="32"/>
        <v>#REDIRECT [[Einsteinium]]</v>
      </c>
      <c r="AF100" s="46" t="s">
        <v>167</v>
      </c>
      <c r="AG100" t="s">
        <v>339</v>
      </c>
      <c r="AH100" t="str">
        <f t="shared" si="33"/>
        <v>Einsteinium</v>
      </c>
      <c r="AK100" t="str">
        <f t="shared" si="26"/>
        <v xml:space="preserve"> wurde 1954 in USA durch Thomson, Ghiorso entdeckt.</v>
      </c>
      <c r="AN100" t="str">
        <f t="shared" si="31"/>
        <v>099</v>
      </c>
      <c r="AO100" t="s">
        <v>1236</v>
      </c>
      <c r="AP100" s="87" t="str">
        <f t="shared" si="34"/>
        <v xml:space="preserve">{{Element|Ordnungszahl=99|Symbol=Es|Name=Einsteinium|Atommasse=254|EN=1,3|BP= |MP=860 °C|Dichte= |Ionenradius=85|Ivolt=619,44|Aradius= </v>
      </c>
      <c r="AQ100" s="87" t="str">
        <f t="shared" si="27"/>
        <v>|Enthalpie=0|IVolt2=-|Wert=|IVolt3=-|Farbe=silbrig glänzend|Flamme=|Elektronenkonfiguration=[Rn] 7s2 5f11|EK-Wiki=[Rn] 7s&lt;sup&gt;2&lt;/sup&gt; 5f&lt;sup&gt;11&lt;/sup&gt;|pre=Californium|next=Fermium|Metall=Metall|E-Name=Einsteinium|L-Name=</v>
      </c>
      <c r="AR100" s="87" t="str">
        <f t="shared" si="28"/>
        <v>|Verwendung=|Wortherkunft=Einsteinium wurde zu Ehren Albert Einsteins benannt.|L-Abk. bzw. redirect=#REDIRECT [[Einsteinium]]|radioaktiv=[[radioaktiv]]es&amp;nbsp;|hoch=Holmium|runter=Einsteinium|Bild-Element=|Bild-Verwendung=|www= wurde 1954 in USA durch Thomson, Ghiorso entdeckt.|E-Gruppe=|Sonstiges-kurz=|OZ3=099|WL=nichda|Text= }}
[[Kategorie:Chemie]][[Kategorie:Chemikalien]]</v>
      </c>
      <c r="AS100" s="104" t="str">
        <f t="shared" si="19"/>
        <v>{{Element|Ordnungszahl=99|Symbol=Es|Name=Einsteinium|Atommasse=254|EN=1,3|BP= |MP=860 °C|Dichte= |Ionenradius=85|Ivolt=619,44|Aradius= |Enthalpie=0|IVolt2=-|Wert=|IVolt3=-|Farbe=silbrig glänzend|Flamme=|Elektronenkonfiguration=[Rn] 7s2 5f11|EK-Wiki=[Rn] 7s&lt;sup&gt;2&lt;/sup&gt; 5f&lt;sup&gt;11&lt;/sup&gt;|pre=Californium|next=Fermium|Metall=Metall|E-Name=Einsteinium|L-Name=|Verwendung=|Wortherkunft=Einsteinium wurde zu Ehren Albert Einsteins benannt.|L-Abk. bzw. redirect=#REDIRECT [[Einsteinium]]|radioaktiv=[[radioaktiv]]es&amp;nbsp;|hoch=Holmium|runter=Einsteinium|Bild-Element=|Bild-Verwendung=|www= wurde 1954 in USA durch Thomson, Ghiorso entdeckt.|E-Gruppe=|Sonstiges-kurz=|OZ3=099|WL=nichda|Text= }}
[[Kategorie:Chemie]][[Kategorie:Chemikalien]]</v>
      </c>
      <c r="AT100" t="str">
        <f t="shared" si="35"/>
        <v xml:space="preserve"> wurde 1954 in USA durch Thomson, Ghiorso entdeckt. http://www.webelements.com/webelements/elements/media/element-pics/Es.jpg</v>
      </c>
    </row>
    <row r="101" spans="1:46" ht="220.8">
      <c r="A101">
        <v>100</v>
      </c>
      <c r="B101" t="s">
        <v>425</v>
      </c>
      <c r="C101" t="s">
        <v>426</v>
      </c>
      <c r="D101">
        <v>257</v>
      </c>
      <c r="E101">
        <v>1.3</v>
      </c>
      <c r="F101" t="s">
        <v>1016</v>
      </c>
      <c r="G101" t="s">
        <v>1016</v>
      </c>
      <c r="H101" t="s">
        <v>1016</v>
      </c>
      <c r="I101">
        <v>1954</v>
      </c>
      <c r="J101" t="s">
        <v>187</v>
      </c>
      <c r="K101" t="s">
        <v>321</v>
      </c>
      <c r="L101">
        <v>84</v>
      </c>
      <c r="M101" t="s">
        <v>1016</v>
      </c>
      <c r="N101" s="103">
        <v>627.16</v>
      </c>
      <c r="P101">
        <v>0</v>
      </c>
      <c r="Q101" s="103" t="s">
        <v>1068</v>
      </c>
      <c r="S101" s="103" t="s">
        <v>1068</v>
      </c>
      <c r="T101" t="s">
        <v>1226</v>
      </c>
      <c r="V101" t="s">
        <v>856</v>
      </c>
      <c r="W101" t="s">
        <v>972</v>
      </c>
      <c r="X101" t="str">
        <f t="shared" si="36"/>
        <v>Einsteinium</v>
      </c>
      <c r="Y101" t="str">
        <f t="shared" si="24"/>
        <v>Mendelevium</v>
      </c>
      <c r="Z101" t="s">
        <v>989</v>
      </c>
      <c r="AA101" s="72" t="s">
        <v>426</v>
      </c>
      <c r="AB101" s="108"/>
      <c r="AC101" s="72"/>
      <c r="AD101" s="87" t="s">
        <v>285</v>
      </c>
      <c r="AE101" s="87" t="str">
        <f t="shared" si="32"/>
        <v>#REDIRECT [[Fermium]]</v>
      </c>
      <c r="AF101" s="46" t="s">
        <v>167</v>
      </c>
      <c r="AG101" t="s">
        <v>342</v>
      </c>
      <c r="AH101" t="str">
        <f t="shared" si="33"/>
        <v>Fermium</v>
      </c>
      <c r="AK101" t="str">
        <f t="shared" si="26"/>
        <v xml:space="preserve"> wurde 1954 in USA durch Thomson, Ghiorso entdeckt.</v>
      </c>
      <c r="AN101">
        <f t="shared" ref="AN101:AN119" si="37">A101</f>
        <v>100</v>
      </c>
      <c r="AO101" t="s">
        <v>1236</v>
      </c>
      <c r="AP101" s="87" t="str">
        <f t="shared" si="34"/>
        <v xml:space="preserve">{{Element|Ordnungszahl=100|Symbol=Fm|Name=Fermium|Atommasse=257|EN=1,3|BP= |MP= |Dichte= |Ionenradius=84|Ivolt=627,16|Aradius= </v>
      </c>
      <c r="AQ101" s="87" t="str">
        <f t="shared" si="27"/>
        <v>|Enthalpie=0|IVolt2=-|Wert=|IVolt3=-|Farbe=in seiner Farbe unbekannt|Flamme=|Elektronenkonfiguration=[Rn] 7s2 5f12|EK-Wiki=[Rn] 7s&lt;sup&gt;2&lt;/sup&gt; 5f&lt;sup&gt;12&lt;/sup&gt;|pre=Einsteinium|next=Mendelevium|Metall=Metall|E-Name=Fermium|L-Name=</v>
      </c>
      <c r="AR101" s="87" t="str">
        <f t="shared" si="28"/>
        <v>|Verwendung=|Wortherkunft=Fermium wurde nach Enrico Fermi benannt.|L-Abk. bzw. redirect=#REDIRECT [[Fermium]]|radioaktiv=[[radioaktiv]]es&amp;nbsp;|hoch=Erbium|runter=Fermium|Bild-Element=|Bild-Verwendung=|www= wurde 1954 in USA durch Thomson, Ghiorso entdeckt.|E-Gruppe=|Sonstiges-kurz=|OZ3=100|WL=nichda|Text= }}
[[Kategorie:Chemie]][[Kategorie:Chemikalien]]</v>
      </c>
      <c r="AS101" s="104" t="str">
        <f t="shared" si="19"/>
        <v>{{Element|Ordnungszahl=100|Symbol=Fm|Name=Fermium|Atommasse=257|EN=1,3|BP= |MP= |Dichte= |Ionenradius=84|Ivolt=627,16|Aradius= |Enthalpie=0|IVolt2=-|Wert=|IVolt3=-|Farbe=in seiner Farbe unbekannt|Flamme=|Elektronenkonfiguration=[Rn] 7s2 5f12|EK-Wiki=[Rn] 7s&lt;sup&gt;2&lt;/sup&gt; 5f&lt;sup&gt;12&lt;/sup&gt;|pre=Einsteinium|next=Mendelevium|Metall=Metall|E-Name=Fermium|L-Name=|Verwendung=|Wortherkunft=Fermium wurde nach Enrico Fermi benannt.|L-Abk. bzw. redirect=#REDIRECT [[Fermium]]|radioaktiv=[[radioaktiv]]es&amp;nbsp;|hoch=Erbium|runter=Fermium|Bild-Element=|Bild-Verwendung=|www= wurde 1954 in USA durch Thomson, Ghiorso entdeckt.|E-Gruppe=|Sonstiges-kurz=|OZ3=100|WL=nichda|Text= }}
[[Kategorie:Chemie]][[Kategorie:Chemikalien]]</v>
      </c>
      <c r="AT101" t="str">
        <f t="shared" si="35"/>
        <v xml:space="preserve"> wurde 1954 in USA durch Thomson, Ghiorso entdeckt. http://www.webelements.com/webelements/elements/media/element-pics/Fm.jpg</v>
      </c>
    </row>
    <row r="102" spans="1:46" ht="262.2">
      <c r="A102">
        <v>101</v>
      </c>
      <c r="B102" t="s">
        <v>427</v>
      </c>
      <c r="C102" t="s">
        <v>428</v>
      </c>
      <c r="D102">
        <v>258</v>
      </c>
      <c r="E102">
        <v>1.3</v>
      </c>
      <c r="F102" t="s">
        <v>1016</v>
      </c>
      <c r="G102" t="s">
        <v>1016</v>
      </c>
      <c r="H102" t="s">
        <v>1016</v>
      </c>
      <c r="I102">
        <v>1954</v>
      </c>
      <c r="J102" t="s">
        <v>187</v>
      </c>
      <c r="K102" t="s">
        <v>321</v>
      </c>
      <c r="L102">
        <v>96</v>
      </c>
      <c r="M102" t="s">
        <v>1016</v>
      </c>
      <c r="N102" s="103">
        <v>634.88</v>
      </c>
      <c r="P102">
        <v>0</v>
      </c>
      <c r="Q102" s="103" t="s">
        <v>1068</v>
      </c>
      <c r="S102" s="103" t="s">
        <v>1068</v>
      </c>
      <c r="T102" t="s">
        <v>1226</v>
      </c>
      <c r="V102" t="s">
        <v>857</v>
      </c>
      <c r="W102" t="s">
        <v>973</v>
      </c>
      <c r="X102" t="str">
        <f t="shared" si="36"/>
        <v>Fermium</v>
      </c>
      <c r="Y102" t="str">
        <f t="shared" si="24"/>
        <v>Nobelium</v>
      </c>
      <c r="Z102" t="s">
        <v>989</v>
      </c>
      <c r="AA102" s="72" t="s">
        <v>428</v>
      </c>
      <c r="AB102" s="108"/>
      <c r="AC102" s="72"/>
      <c r="AD102" s="87" t="s">
        <v>286</v>
      </c>
      <c r="AE102" s="87" t="str">
        <f t="shared" si="32"/>
        <v>#REDIRECT [[Mendelevium]]</v>
      </c>
      <c r="AF102" s="46" t="s">
        <v>167</v>
      </c>
      <c r="AG102" t="s">
        <v>345</v>
      </c>
      <c r="AH102" t="str">
        <f t="shared" si="33"/>
        <v>Mendelevium</v>
      </c>
      <c r="AK102" t="str">
        <f t="shared" si="26"/>
        <v xml:space="preserve"> wurde 1954 in USA durch Thomson, Ghiorso entdeckt.</v>
      </c>
      <c r="AN102">
        <f t="shared" si="37"/>
        <v>101</v>
      </c>
      <c r="AO102" t="s">
        <v>1236</v>
      </c>
      <c r="AP102" s="87" t="str">
        <f t="shared" si="34"/>
        <v xml:space="preserve">{{Element|Ordnungszahl=101|Symbol=Md|Name=Mendelevium|Atommasse=258|EN=1,3|BP= |MP= |Dichte= |Ionenradius=96|Ivolt=634,88|Aradius= </v>
      </c>
      <c r="AQ102" s="87" t="str">
        <f t="shared" si="27"/>
        <v>|Enthalpie=0|IVolt2=-|Wert=|IVolt3=-|Farbe=in seiner Farbe unbekannt|Flamme=|Elektronenkonfiguration=[Rn] 7s2 5f13|EK-Wiki=[Rn] 7s&lt;sup&gt;2&lt;/sup&gt; 5f&lt;sup&gt;13&lt;/sup&gt;|pre=Fermium|next=Nobelium|Metall=Metall|E-Name=Mendelevium|L-Name=</v>
      </c>
      <c r="AR102" s="87" t="str">
        <f t="shared" si="28"/>
        <v>|Verwendung=|Wortherkunft=Mendelevium wurde nach dem russischen Chemiker und "Erfinder" des Periodensystems Mendelejew benannt. |L-Abk. bzw. redirect=#REDIRECT [[Mendelevium]]|radioaktiv=[[radioaktiv]]es&amp;nbsp;|hoch=Thulium|runter=Mendelevium|Bild-Element=|Bild-Verwendung=|www= wurde 1954 in USA durch Thomson, Ghiorso entdeckt.|E-Gruppe=|Sonstiges-kurz=|OZ3=101|WL=nichda|Text= }}
[[Kategorie:Chemie]][[Kategorie:Chemikalien]]</v>
      </c>
      <c r="AS102" s="104" t="str">
        <f t="shared" si="19"/>
        <v>{{Element|Ordnungszahl=101|Symbol=Md|Name=Mendelevium|Atommasse=258|EN=1,3|BP= |MP= |Dichte= |Ionenradius=96|Ivolt=634,88|Aradius= |Enthalpie=0|IVolt2=-|Wert=|IVolt3=-|Farbe=in seiner Farbe unbekannt|Flamme=|Elektronenkonfiguration=[Rn] 7s2 5f13|EK-Wiki=[Rn] 7s&lt;sup&gt;2&lt;/sup&gt; 5f&lt;sup&gt;13&lt;/sup&gt;|pre=Fermium|next=Nobelium|Metall=Metall|E-Name=Mendelevium|L-Name=|Verwendung=|Wortherkunft=Mendelevium wurde nach dem russischen Chemiker und "Erfinder" des Periodensystems Mendelejew benannt. |L-Abk. bzw. redirect=#REDIRECT [[Mendelevium]]|radioaktiv=[[radioaktiv]]es&amp;nbsp;|hoch=Thulium|runter=Mendelevium|Bild-Element=|Bild-Verwendung=|www= wurde 1954 in USA durch Thomson, Ghiorso entdeckt.|E-Gruppe=|Sonstiges-kurz=|OZ3=101|WL=nichda|Text= }}
[[Kategorie:Chemie]][[Kategorie:Chemikalien]]</v>
      </c>
      <c r="AT102" t="str">
        <f t="shared" si="35"/>
        <v xml:space="preserve"> wurde 1954 in USA durch Thomson, Ghiorso entdeckt. http://www.webelements.com/webelements/elements/media/element-pics/Md.jpg</v>
      </c>
    </row>
    <row r="103" spans="1:46" ht="220.8">
      <c r="A103">
        <v>102</v>
      </c>
      <c r="B103" t="s">
        <v>429</v>
      </c>
      <c r="C103" t="s">
        <v>430</v>
      </c>
      <c r="D103">
        <v>255</v>
      </c>
      <c r="E103">
        <v>1.3</v>
      </c>
      <c r="F103" t="s">
        <v>1016</v>
      </c>
      <c r="G103" t="s">
        <v>1016</v>
      </c>
      <c r="H103" t="s">
        <v>1016</v>
      </c>
      <c r="I103">
        <v>1957</v>
      </c>
      <c r="J103" t="s">
        <v>188</v>
      </c>
      <c r="K103" t="s">
        <v>321</v>
      </c>
      <c r="L103">
        <v>95</v>
      </c>
      <c r="M103" t="s">
        <v>1016</v>
      </c>
      <c r="N103" s="103">
        <v>641.63</v>
      </c>
      <c r="P103">
        <v>0</v>
      </c>
      <c r="Q103" s="103" t="s">
        <v>1068</v>
      </c>
      <c r="S103" s="103" t="s">
        <v>1068</v>
      </c>
      <c r="T103" t="s">
        <v>1226</v>
      </c>
      <c r="V103" t="s">
        <v>858</v>
      </c>
      <c r="W103" t="s">
        <v>974</v>
      </c>
      <c r="X103" t="str">
        <f t="shared" si="36"/>
        <v>Mendelevium</v>
      </c>
      <c r="Y103" t="str">
        <f t="shared" si="24"/>
        <v>Lawrencium</v>
      </c>
      <c r="Z103" t="s">
        <v>989</v>
      </c>
      <c r="AA103" s="72" t="s">
        <v>430</v>
      </c>
      <c r="AB103" s="108"/>
      <c r="AC103" s="72"/>
      <c r="AD103" s="87" t="s">
        <v>287</v>
      </c>
      <c r="AE103" s="87" t="str">
        <f t="shared" si="32"/>
        <v>#REDIRECT [[Nobelium]]</v>
      </c>
      <c r="AF103" s="46" t="s">
        <v>167</v>
      </c>
      <c r="AG103" t="s">
        <v>348</v>
      </c>
      <c r="AH103" t="str">
        <f t="shared" si="33"/>
        <v>Nobelium</v>
      </c>
      <c r="AK103" t="str">
        <f t="shared" si="26"/>
        <v xml:space="preserve"> wurde 1957 in USA durch Nobel-Institut entdeckt.</v>
      </c>
      <c r="AN103">
        <f t="shared" si="37"/>
        <v>102</v>
      </c>
      <c r="AO103" t="s">
        <v>1236</v>
      </c>
      <c r="AP103" s="87" t="str">
        <f t="shared" si="34"/>
        <v xml:space="preserve">{{Element|Ordnungszahl=102|Symbol=No|Name=Nobelium|Atommasse=255|EN=1,3|BP= |MP= |Dichte= |Ionenradius=95|Ivolt=641,63|Aradius= </v>
      </c>
      <c r="AQ103" s="87" t="str">
        <f t="shared" si="27"/>
        <v>|Enthalpie=0|IVolt2=-|Wert=|IVolt3=-|Farbe=in seiner Farbe unbekannt|Flamme=|Elektronenkonfiguration=[Rn] 7s2 5f14|EK-Wiki=[Rn] 7s&lt;sup&gt;2&lt;/sup&gt; 5f&lt;sup&gt;14&lt;/sup&gt;|pre=Mendelevium|next=Lawrencium|Metall=Metall|E-Name=Nobelium|L-Name=</v>
      </c>
      <c r="AR103" s="87" t="str">
        <f t="shared" si="28"/>
        <v>|Verwendung=|Wortherkunft=Nobelium wurde nach Alfred Nobel benannt.|L-Abk. bzw. redirect=#REDIRECT [[Nobelium]]|radioaktiv=[[radioaktiv]]es&amp;nbsp;|hoch=Ytterbium|runter=Nobelium|Bild-Element=|Bild-Verwendung=|www= wurde 1957 in USA durch Nobel-Institut entdeckt.|E-Gruppe=|Sonstiges-kurz=|OZ3=102|WL=nichda|Text= }}
[[Kategorie:Chemie]][[Kategorie:Chemikalien]]</v>
      </c>
      <c r="AS103" s="104" t="str">
        <f t="shared" si="19"/>
        <v>{{Element|Ordnungszahl=102|Symbol=No|Name=Nobelium|Atommasse=255|EN=1,3|BP= |MP= |Dichte= |Ionenradius=95|Ivolt=641,63|Aradius= |Enthalpie=0|IVolt2=-|Wert=|IVolt3=-|Farbe=in seiner Farbe unbekannt|Flamme=|Elektronenkonfiguration=[Rn] 7s2 5f14|EK-Wiki=[Rn] 7s&lt;sup&gt;2&lt;/sup&gt; 5f&lt;sup&gt;14&lt;/sup&gt;|pre=Mendelevium|next=Lawrencium|Metall=Metall|E-Name=Nobelium|L-Name=|Verwendung=|Wortherkunft=Nobelium wurde nach Alfred Nobel benannt.|L-Abk. bzw. redirect=#REDIRECT [[Nobelium]]|radioaktiv=[[radioaktiv]]es&amp;nbsp;|hoch=Ytterbium|runter=Nobelium|Bild-Element=|Bild-Verwendung=|www= wurde 1957 in USA durch Nobel-Institut entdeckt.|E-Gruppe=|Sonstiges-kurz=|OZ3=102|WL=nichda|Text= }}
[[Kategorie:Chemie]][[Kategorie:Chemikalien]]</v>
      </c>
      <c r="AT103" t="str">
        <f t="shared" si="35"/>
        <v xml:space="preserve"> wurde 1957 in USA durch Nobel-Institut entdeckt. http://www.webelements.com/webelements/elements/media/element-pics/No.jpg</v>
      </c>
    </row>
    <row r="104" spans="1:46" ht="276">
      <c r="A104">
        <v>103</v>
      </c>
      <c r="B104" t="s">
        <v>743</v>
      </c>
      <c r="C104" t="s">
        <v>432</v>
      </c>
      <c r="D104">
        <v>260</v>
      </c>
      <c r="E104">
        <v>1.3</v>
      </c>
      <c r="F104" t="s">
        <v>1016</v>
      </c>
      <c r="G104" t="s">
        <v>1015</v>
      </c>
      <c r="H104" t="s">
        <v>1016</v>
      </c>
      <c r="I104">
        <v>1961</v>
      </c>
      <c r="J104" t="s">
        <v>189</v>
      </c>
      <c r="K104" t="s">
        <v>321</v>
      </c>
      <c r="L104">
        <v>83</v>
      </c>
      <c r="M104" t="s">
        <v>1016</v>
      </c>
      <c r="N104" s="103" t="s">
        <v>1068</v>
      </c>
      <c r="P104">
        <v>0</v>
      </c>
      <c r="Q104" s="103" t="s">
        <v>1068</v>
      </c>
      <c r="S104" s="103" t="s">
        <v>1068</v>
      </c>
      <c r="T104" t="s">
        <v>1226</v>
      </c>
      <c r="V104" t="s">
        <v>865</v>
      </c>
      <c r="W104" t="s">
        <v>975</v>
      </c>
      <c r="X104" t="str">
        <f t="shared" si="36"/>
        <v>Nobelium</v>
      </c>
      <c r="Y104" t="str">
        <f t="shared" si="24"/>
        <v>Rutherfordium</v>
      </c>
      <c r="Z104" t="s">
        <v>989</v>
      </c>
      <c r="AA104" s="72" t="s">
        <v>432</v>
      </c>
      <c r="AB104" s="108"/>
      <c r="AC104" s="72"/>
      <c r="AD104" s="87" t="s">
        <v>1241</v>
      </c>
      <c r="AE104" s="87" t="str">
        <f t="shared" si="32"/>
        <v>#REDIRECT [[Lawrencium]]</v>
      </c>
      <c r="AF104" s="46" t="s">
        <v>167</v>
      </c>
      <c r="AG104" t="s">
        <v>351</v>
      </c>
      <c r="AH104" t="str">
        <f t="shared" si="33"/>
        <v>Lawrencium</v>
      </c>
      <c r="AK104" t="str">
        <f t="shared" si="26"/>
        <v xml:space="preserve"> wurde 1961 in USA durch USA-Gruppe entdeckt.</v>
      </c>
      <c r="AN104">
        <f t="shared" si="37"/>
        <v>103</v>
      </c>
      <c r="AO104" t="s">
        <v>1236</v>
      </c>
      <c r="AP104" s="87" t="str">
        <f t="shared" si="34"/>
        <v xml:space="preserve">{{Element|Ordnungszahl=103|Symbol=Lr|Name=Lawrencium|Atommasse=260|EN=1,3|BP= |MP=1627 °C|Dichte= |Ionenradius=83|Ivolt=-|Aradius= </v>
      </c>
      <c r="AQ104" s="87" t="str">
        <f t="shared" si="27"/>
        <v>|Enthalpie=0|IVolt2=-|Wert=|IVolt3=-|Farbe=in seiner Farbe unbekannt|Flamme=|Elektronenkonfiguration=[Rn] 7s2 6d1 5f14|EK-Wiki=[Rn] 7s&lt;sup&gt;2&lt;/sup&gt; 6d&lt;sup&gt;1&lt;/sup&gt; 5f&lt;sup&gt;14&lt;/sup&gt;|pre=Nobelium|next=Rutherfordium|Metall=Metall|E-Name=Lawrencium|L-Name=</v>
      </c>
      <c r="AR104" s="87" t="str">
        <f t="shared" si="28"/>
        <v>|Verwendung=|Wortherkunft=Dieses Element wurde nach Ernest Lawrence benannt. Er ist der Erfinder des Zyklotrons, einem Teilchenbeschleuniger, der eine wichtige Voraussetzung zur Entdeckung vieler Transuranium-Elemente war.|L-Abk. bzw. redirect=#REDIRECT [[Lawrencium]]|radioaktiv=[[radioaktiv]]es&amp;nbsp;|hoch=Lutetium|runter=Lawrencium|Bild-Element=|Bild-Verwendung=|www= wurde 1961 in USA durch USA-Gruppe entdeckt.|E-Gruppe=|Sonstiges-kurz=|OZ3=103|WL=nichda|Text= }}
[[Kategorie:Chemie]][[Kategorie:Chemikalien]]</v>
      </c>
      <c r="AS104" s="104" t="str">
        <f t="shared" si="19"/>
        <v>{{Element|Ordnungszahl=103|Symbol=Lr|Name=Lawrencium|Atommasse=260|EN=1,3|BP= |MP=1627 °C|Dichte= |Ionenradius=83|Ivolt=-|Aradius= |Enthalpie=0|IVolt2=-|Wert=|IVolt3=-|Farbe=in seiner Farbe unbekannt|Flamme=|Elektronenkonfiguration=[Rn] 7s2 6d1 5f14|EK-Wiki=[Rn] 7s&lt;sup&gt;2&lt;/sup&gt; 6d&lt;sup&gt;1&lt;/sup&gt; 5f&lt;sup&gt;14&lt;/sup&gt;|pre=Nobelium|next=Rutherfordium|Metall=Metall|E-Name=Lawrencium|L-Name=|Verwendung=|Wortherkunft=Dieses Element wurde nach Ernest Lawrence benannt. Er ist der Erfinder des Zyklotrons, einem Teilchenbeschleuniger, der eine wichtige Voraussetzung zur Entdeckung vieler Transuranium-Elemente war.|L-Abk. bzw. redirect=#REDIRECT [[Lawrencium]]|radioaktiv=[[radioaktiv]]es&amp;nbsp;|hoch=Lutetium|runter=Lawrencium|Bild-Element=|Bild-Verwendung=|www= wurde 1961 in USA durch USA-Gruppe entdeckt.|E-Gruppe=|Sonstiges-kurz=|OZ3=103|WL=nichda|Text= }}
[[Kategorie:Chemie]][[Kategorie:Chemikalien]]</v>
      </c>
      <c r="AT104" t="str">
        <f t="shared" si="35"/>
        <v xml:space="preserve"> wurde 1961 in USA durch USA-Gruppe entdeckt. http://www.webelements.com/webelements/elements/media/element-pics/Lr.jpg</v>
      </c>
    </row>
    <row r="105" spans="1:46" ht="220.8">
      <c r="A105">
        <v>104</v>
      </c>
      <c r="B105" t="s">
        <v>433</v>
      </c>
      <c r="C105" t="s">
        <v>434</v>
      </c>
      <c r="D105">
        <v>261</v>
      </c>
      <c r="E105" t="s">
        <v>1016</v>
      </c>
      <c r="F105" t="s">
        <v>1016</v>
      </c>
      <c r="G105" t="s">
        <v>1016</v>
      </c>
      <c r="H105" t="s">
        <v>1016</v>
      </c>
      <c r="I105">
        <v>1964</v>
      </c>
      <c r="J105" t="s">
        <v>190</v>
      </c>
      <c r="K105" t="s">
        <v>435</v>
      </c>
      <c r="M105" t="s">
        <v>1016</v>
      </c>
      <c r="N105" s="103" t="s">
        <v>1068</v>
      </c>
      <c r="P105">
        <v>0</v>
      </c>
      <c r="Q105" s="103" t="s">
        <v>1068</v>
      </c>
      <c r="S105" s="103" t="s">
        <v>1068</v>
      </c>
      <c r="T105" t="s">
        <v>1226</v>
      </c>
      <c r="V105" t="s">
        <v>515</v>
      </c>
      <c r="W105" t="s">
        <v>515</v>
      </c>
      <c r="X105" t="str">
        <f t="shared" si="36"/>
        <v>Lawrencium</v>
      </c>
      <c r="Y105" t="str">
        <f t="shared" si="24"/>
        <v>Dubnium</v>
      </c>
      <c r="Z105" t="s">
        <v>989</v>
      </c>
      <c r="AA105" s="72" t="s">
        <v>434</v>
      </c>
      <c r="AB105" s="108"/>
      <c r="AC105" s="72"/>
      <c r="AD105" s="87" t="s">
        <v>288</v>
      </c>
      <c r="AE105" s="87" t="str">
        <f t="shared" si="32"/>
        <v>#REDIRECT [[Rutherfordium]]</v>
      </c>
      <c r="AF105" s="46" t="s">
        <v>167</v>
      </c>
      <c r="AG105" t="s">
        <v>354</v>
      </c>
      <c r="AH105" t="str">
        <f t="shared" si="33"/>
        <v>Rutherfordium</v>
      </c>
      <c r="AK105" t="str">
        <f t="shared" si="26"/>
        <v xml:space="preserve"> wurde 1964 in UdSSR durch UdSSR-Gruppe entdeckt.</v>
      </c>
      <c r="AN105">
        <f t="shared" si="37"/>
        <v>104</v>
      </c>
      <c r="AO105" t="s">
        <v>1236</v>
      </c>
      <c r="AP105" s="87" t="str">
        <f t="shared" si="34"/>
        <v xml:space="preserve">{{Element|Ordnungszahl=104|Symbol=Rf|Name=Rutherfordium|Atommasse=261|EN= |BP= |MP= |Dichte= |Ionenradius=|Ivolt=-|Aradius= </v>
      </c>
      <c r="AQ105" s="87" t="str">
        <f t="shared" si="27"/>
        <v>|Enthalpie=0|IVolt2=-|Wert=|IVolt3=-|Farbe=in seiner Farbe unbekannt|Flamme=|Elektronenkonfiguration=k.A.|EK-Wiki=k.A.|pre=Lawrencium|next=Dubnium|Metall=Metall|E-Name=Rutherfordium|L-Name=</v>
      </c>
      <c r="AR105" s="87" t="str">
        <f t="shared" si="28"/>
        <v>|Verwendung=|Wortherkunft=nach Ernest Rutherford|L-Abk. bzw. redirect=#REDIRECT [[Rutherfordium]]|radioaktiv=[[radioaktiv]]es&amp;nbsp;|hoch=Hafnium|runter=Rutherfordium|Bild-Element=|Bild-Verwendung=|www= wurde 1964 in UdSSR durch UdSSR-Gruppe entdeckt.|E-Gruppe=|Sonstiges-kurz=|OZ3=104|WL=nichda|Text= }}
[[Kategorie:Chemie]][[Kategorie:Chemikalien]]</v>
      </c>
      <c r="AS105" s="104" t="str">
        <f t="shared" ref="AS105:AS119" si="38">CONCATENATE(AP105,AQ105,AR105)</f>
        <v>{{Element|Ordnungszahl=104|Symbol=Rf|Name=Rutherfordium|Atommasse=261|EN= |BP= |MP= |Dichte= |Ionenradius=|Ivolt=-|Aradius= |Enthalpie=0|IVolt2=-|Wert=|IVolt3=-|Farbe=in seiner Farbe unbekannt|Flamme=|Elektronenkonfiguration=k.A.|EK-Wiki=k.A.|pre=Lawrencium|next=Dubnium|Metall=Metall|E-Name=Rutherfordium|L-Name=|Verwendung=|Wortherkunft=nach Ernest Rutherford|L-Abk. bzw. redirect=#REDIRECT [[Rutherfordium]]|radioaktiv=[[radioaktiv]]es&amp;nbsp;|hoch=Hafnium|runter=Rutherfordium|Bild-Element=|Bild-Verwendung=|www= wurde 1964 in UdSSR durch UdSSR-Gruppe entdeckt.|E-Gruppe=|Sonstiges-kurz=|OZ3=104|WL=nichda|Text= }}
[[Kategorie:Chemie]][[Kategorie:Chemikalien]]</v>
      </c>
      <c r="AT105" t="str">
        <f t="shared" si="35"/>
        <v xml:space="preserve"> wurde 1964 in UdSSR durch UdSSR-Gruppe entdeckt. http://www.webelements.com/webelements/elements/media/element-pics/Rf.jpg</v>
      </c>
    </row>
    <row r="106" spans="1:46" ht="220.8">
      <c r="A106">
        <v>105</v>
      </c>
      <c r="B106" t="s">
        <v>436</v>
      </c>
      <c r="C106" t="s">
        <v>744</v>
      </c>
      <c r="D106">
        <v>262</v>
      </c>
      <c r="E106" t="s">
        <v>1016</v>
      </c>
      <c r="F106" t="s">
        <v>1016</v>
      </c>
      <c r="G106" t="s">
        <v>1016</v>
      </c>
      <c r="H106" t="s">
        <v>1016</v>
      </c>
      <c r="I106">
        <v>1970</v>
      </c>
      <c r="J106" t="s">
        <v>190</v>
      </c>
      <c r="K106" t="s">
        <v>435</v>
      </c>
      <c r="M106" t="s">
        <v>1016</v>
      </c>
      <c r="N106" s="103" t="s">
        <v>1068</v>
      </c>
      <c r="P106">
        <v>0</v>
      </c>
      <c r="Q106" s="103" t="s">
        <v>1068</v>
      </c>
      <c r="S106" s="103" t="s">
        <v>1068</v>
      </c>
      <c r="T106" t="s">
        <v>1226</v>
      </c>
      <c r="V106" t="s">
        <v>515</v>
      </c>
      <c r="W106" t="s">
        <v>515</v>
      </c>
      <c r="X106" t="str">
        <f t="shared" si="36"/>
        <v>Rutherfordium</v>
      </c>
      <c r="Y106" t="str">
        <f t="shared" si="24"/>
        <v>Seaborgium</v>
      </c>
      <c r="Z106" t="s">
        <v>989</v>
      </c>
      <c r="AA106" s="72" t="s">
        <v>744</v>
      </c>
      <c r="AB106" s="108"/>
      <c r="AC106" s="72"/>
      <c r="AD106" s="87" t="s">
        <v>289</v>
      </c>
      <c r="AE106" s="87" t="str">
        <f t="shared" si="32"/>
        <v>#REDIRECT [[Dubnium]]</v>
      </c>
      <c r="AF106" s="46" t="s">
        <v>167</v>
      </c>
      <c r="AG106" t="s">
        <v>357</v>
      </c>
      <c r="AH106" t="str">
        <f t="shared" si="33"/>
        <v>Dubnium</v>
      </c>
      <c r="AK106" t="str">
        <f t="shared" si="26"/>
        <v xml:space="preserve"> wurde 1970 in UdSSR durch UdSSR-Gruppe entdeckt.</v>
      </c>
      <c r="AN106">
        <f t="shared" si="37"/>
        <v>105</v>
      </c>
      <c r="AO106" t="s">
        <v>1236</v>
      </c>
      <c r="AP106" s="87" t="str">
        <f t="shared" si="34"/>
        <v xml:space="preserve">{{Element|Ordnungszahl=105|Symbol=Db|Name=Dubnium|Atommasse=262|EN= |BP= |MP= |Dichte= |Ionenradius=|Ivolt=-|Aradius= </v>
      </c>
      <c r="AQ106" s="87" t="str">
        <f t="shared" si="27"/>
        <v>|Enthalpie=0|IVolt2=-|Wert=|IVolt3=-|Farbe=in seiner Farbe unbekannt|Flamme=|Elektronenkonfiguration=k.A.|EK-Wiki=k.A.|pre=Rutherfordium|next=Seaborgium|Metall=Metall|E-Name=Dubnium|L-Name=</v>
      </c>
      <c r="AR106" s="87" t="str">
        <f t="shared" si="28"/>
        <v>|Verwendung=|Wortherkunft=nach dem russischen Kernforschungszentrum "Dubna (Moskau) benannt, in dem es entdeckt wurde|L-Abk. bzw. redirect=#REDIRECT [[Dubnium]]|radioaktiv=[[radioaktiv]]es&amp;nbsp;|hoch=Tantal|runter=Dubnium|Bild-Element=|Bild-Verwendung=|www= wurde 1970 in UdSSR durch UdSSR-Gruppe entdeckt.|E-Gruppe=|Sonstiges-kurz=|OZ3=105|WL=nichda|Text= }}
[[Kategorie:Chemie]][[Kategorie:Chemikalien]]</v>
      </c>
      <c r="AS106" s="104" t="str">
        <f t="shared" si="38"/>
        <v>{{Element|Ordnungszahl=105|Symbol=Db|Name=Dubnium|Atommasse=262|EN= |BP= |MP= |Dichte= |Ionenradius=|Ivolt=-|Aradius= |Enthalpie=0|IVolt2=-|Wert=|IVolt3=-|Farbe=in seiner Farbe unbekannt|Flamme=|Elektronenkonfiguration=k.A.|EK-Wiki=k.A.|pre=Rutherfordium|next=Seaborgium|Metall=Metall|E-Name=Dubnium|L-Name=|Verwendung=|Wortherkunft=nach dem russischen Kernforschungszentrum "Dubna (Moskau) benannt, in dem es entdeckt wurde|L-Abk. bzw. redirect=#REDIRECT [[Dubnium]]|radioaktiv=[[radioaktiv]]es&amp;nbsp;|hoch=Tantal|runter=Dubnium|Bild-Element=|Bild-Verwendung=|www= wurde 1970 in UdSSR durch UdSSR-Gruppe entdeckt.|E-Gruppe=|Sonstiges-kurz=|OZ3=105|WL=nichda|Text= }}
[[Kategorie:Chemie]][[Kategorie:Chemikalien]]</v>
      </c>
      <c r="AT106" t="str">
        <f t="shared" si="35"/>
        <v xml:space="preserve"> wurde 1970 in UdSSR durch UdSSR-Gruppe entdeckt. http://www.webelements.com/webelements/elements/media/element-pics/Db.jpg</v>
      </c>
    </row>
    <row r="107" spans="1:46" ht="234.6">
      <c r="A107">
        <v>106</v>
      </c>
      <c r="B107" t="s">
        <v>437</v>
      </c>
      <c r="C107" t="s">
        <v>438</v>
      </c>
      <c r="D107">
        <v>263</v>
      </c>
      <c r="E107" t="s">
        <v>1016</v>
      </c>
      <c r="F107" t="s">
        <v>1016</v>
      </c>
      <c r="G107" t="s">
        <v>1016</v>
      </c>
      <c r="H107" t="s">
        <v>1016</v>
      </c>
      <c r="I107">
        <v>1974</v>
      </c>
      <c r="J107" t="s">
        <v>190</v>
      </c>
      <c r="K107" t="s">
        <v>435</v>
      </c>
      <c r="M107" t="s">
        <v>1016</v>
      </c>
      <c r="N107" s="103" t="s">
        <v>1068</v>
      </c>
      <c r="P107">
        <v>0</v>
      </c>
      <c r="Q107" s="103" t="s">
        <v>1068</v>
      </c>
      <c r="S107" s="103" t="s">
        <v>1068</v>
      </c>
      <c r="T107" t="s">
        <v>1226</v>
      </c>
      <c r="V107" t="s">
        <v>515</v>
      </c>
      <c r="W107" t="s">
        <v>515</v>
      </c>
      <c r="X107" t="str">
        <f t="shared" si="36"/>
        <v>Dubnium</v>
      </c>
      <c r="Y107" t="str">
        <f t="shared" si="24"/>
        <v>Bohrium</v>
      </c>
      <c r="Z107" t="s">
        <v>989</v>
      </c>
      <c r="AA107" s="72" t="s">
        <v>438</v>
      </c>
      <c r="AB107" s="108"/>
      <c r="AC107" s="72"/>
      <c r="AD107" s="87" t="s">
        <v>290</v>
      </c>
      <c r="AE107" s="87" t="str">
        <f t="shared" si="32"/>
        <v>#REDIRECT [[Seaborgium]]</v>
      </c>
      <c r="AF107" s="46" t="s">
        <v>167</v>
      </c>
      <c r="AG107" t="s">
        <v>359</v>
      </c>
      <c r="AH107" t="str">
        <f t="shared" si="33"/>
        <v>Seaborgium</v>
      </c>
      <c r="AK107" t="str">
        <f t="shared" si="26"/>
        <v xml:space="preserve"> wurde 1974 in UdSSR durch UdSSR-Gruppe entdeckt.</v>
      </c>
      <c r="AN107">
        <f t="shared" si="37"/>
        <v>106</v>
      </c>
      <c r="AO107" t="s">
        <v>1236</v>
      </c>
      <c r="AP107" s="87" t="str">
        <f t="shared" si="34"/>
        <v xml:space="preserve">{{Element|Ordnungszahl=106|Symbol=Sg|Name=Seaborgium|Atommasse=263|EN= |BP= |MP= |Dichte= |Ionenradius=|Ivolt=-|Aradius= </v>
      </c>
      <c r="AQ107" s="87" t="str">
        <f t="shared" si="27"/>
        <v>|Enthalpie=0|IVolt2=-|Wert=|IVolt3=-|Farbe=in seiner Farbe unbekannt|Flamme=|Elektronenkonfiguration=k.A.|EK-Wiki=k.A.|pre=Dubnium|next=Bohrium|Metall=Metall|E-Name=Seaborgium|L-Name=</v>
      </c>
      <c r="AR107" s="87" t="str">
        <f t="shared" si="28"/>
        <v>|Verwendung=|Wortherkunft=Seaborgium zu Ehren des amerikanischen Chemikers Glenn Seaborg.|L-Abk. bzw. redirect=#REDIRECT [[Seaborgium]]|radioaktiv=[[radioaktiv]]es&amp;nbsp;|hoch=Wolfram|runter=Seaborgium|Bild-Element=|Bild-Verwendung=|www= wurde 1974 in UdSSR durch UdSSR-Gruppe entdeckt.|E-Gruppe=|Sonstiges-kurz=|OZ3=106|WL=nichda|Text= }}
[[Kategorie:Chemie]][[Kategorie:Chemikalien]]</v>
      </c>
      <c r="AS107" s="104" t="str">
        <f t="shared" si="38"/>
        <v>{{Element|Ordnungszahl=106|Symbol=Sg|Name=Seaborgium|Atommasse=263|EN= |BP= |MP= |Dichte= |Ionenradius=|Ivolt=-|Aradius= |Enthalpie=0|IVolt2=-|Wert=|IVolt3=-|Farbe=in seiner Farbe unbekannt|Flamme=|Elektronenkonfiguration=k.A.|EK-Wiki=k.A.|pre=Dubnium|next=Bohrium|Metall=Metall|E-Name=Seaborgium|L-Name=|Verwendung=|Wortherkunft=Seaborgium zu Ehren des amerikanischen Chemikers Glenn Seaborg.|L-Abk. bzw. redirect=#REDIRECT [[Seaborgium]]|radioaktiv=[[radioaktiv]]es&amp;nbsp;|hoch=Wolfram|runter=Seaborgium|Bild-Element=|Bild-Verwendung=|www= wurde 1974 in UdSSR durch UdSSR-Gruppe entdeckt.|E-Gruppe=|Sonstiges-kurz=|OZ3=106|WL=nichda|Text= }}
[[Kategorie:Chemie]][[Kategorie:Chemikalien]]</v>
      </c>
      <c r="AT107" t="str">
        <f t="shared" si="35"/>
        <v xml:space="preserve"> wurde 1974 in UdSSR durch UdSSR-Gruppe entdeckt. http://www.webelements.com/webelements/elements/media/element-pics/Sg.jpg</v>
      </c>
    </row>
    <row r="108" spans="1:46" ht="207">
      <c r="A108">
        <v>107</v>
      </c>
      <c r="B108" t="s">
        <v>439</v>
      </c>
      <c r="C108" t="s">
        <v>745</v>
      </c>
      <c r="D108">
        <v>264</v>
      </c>
      <c r="E108" t="s">
        <v>1016</v>
      </c>
      <c r="F108" t="s">
        <v>1016</v>
      </c>
      <c r="G108" t="s">
        <v>1016</v>
      </c>
      <c r="H108" t="s">
        <v>1016</v>
      </c>
      <c r="I108">
        <v>1976</v>
      </c>
      <c r="J108" t="s">
        <v>190</v>
      </c>
      <c r="K108" t="s">
        <v>435</v>
      </c>
      <c r="M108" t="s">
        <v>1016</v>
      </c>
      <c r="N108" s="103" t="s">
        <v>1068</v>
      </c>
      <c r="P108">
        <v>0</v>
      </c>
      <c r="Q108" s="103" t="s">
        <v>1068</v>
      </c>
      <c r="S108" s="103" t="s">
        <v>1068</v>
      </c>
      <c r="T108" t="s">
        <v>1226</v>
      </c>
      <c r="V108" t="s">
        <v>515</v>
      </c>
      <c r="W108" t="s">
        <v>515</v>
      </c>
      <c r="X108" t="str">
        <f t="shared" si="36"/>
        <v>Seaborgium</v>
      </c>
      <c r="Y108" t="str">
        <f t="shared" si="3"/>
        <v>Hassium</v>
      </c>
      <c r="Z108" t="s">
        <v>989</v>
      </c>
      <c r="AA108" s="72" t="s">
        <v>745</v>
      </c>
      <c r="AB108" s="108"/>
      <c r="AC108" s="72"/>
      <c r="AD108" s="87" t="s">
        <v>291</v>
      </c>
      <c r="AE108" s="87" t="str">
        <f t="shared" si="9"/>
        <v>#REDIRECT [[Bohrium]]</v>
      </c>
      <c r="AF108" s="46" t="s">
        <v>167</v>
      </c>
      <c r="AG108" t="s">
        <v>363</v>
      </c>
      <c r="AH108" t="str">
        <f t="shared" si="33"/>
        <v>Bohrium</v>
      </c>
      <c r="AK108" t="str">
        <f t="shared" si="26"/>
        <v xml:space="preserve"> wurde 1976 in UdSSR durch UdSSR-Gruppe entdeckt.</v>
      </c>
      <c r="AN108">
        <f t="shared" si="37"/>
        <v>107</v>
      </c>
      <c r="AO108" t="s">
        <v>1236</v>
      </c>
      <c r="AP108" s="87" t="str">
        <f t="shared" si="34"/>
        <v xml:space="preserve">{{Element|Ordnungszahl=107|Symbol=Bh|Name=Bohrium|Atommasse=264|EN= |BP= |MP= |Dichte= |Ionenradius=|Ivolt=-|Aradius= </v>
      </c>
      <c r="AQ108" s="87" t="str">
        <f t="shared" si="27"/>
        <v>|Enthalpie=0|IVolt2=-|Wert=|IVolt3=-|Farbe=in seiner Farbe unbekannt|Flamme=|Elektronenkonfiguration=k.A.|EK-Wiki=k.A.|pre=Seaborgium|next=Hassium|Metall=Metall|E-Name=Bohrium|L-Name=</v>
      </c>
      <c r="AR108" s="87" t="str">
        <f t="shared" si="28"/>
        <v>|Verwendung=|Wortherkunft=Bohrium benannt nach Niels Bohr.|L-Abk. bzw. redirect=#REDIRECT [[Bohrium]]|radioaktiv=[[radioaktiv]]es&amp;nbsp;|hoch=Rhenium|runter=Bohrium|Bild-Element=|Bild-Verwendung=|www= wurde 1976 in UdSSR durch UdSSR-Gruppe entdeckt.|E-Gruppe=|Sonstiges-kurz=|OZ3=107|WL=nichda|Text= }}
[[Kategorie:Chemie]][[Kategorie:Chemikalien]]</v>
      </c>
      <c r="AS108" s="104" t="str">
        <f t="shared" si="38"/>
        <v>{{Element|Ordnungszahl=107|Symbol=Bh|Name=Bohrium|Atommasse=264|EN= |BP= |MP= |Dichte= |Ionenradius=|Ivolt=-|Aradius= |Enthalpie=0|IVolt2=-|Wert=|IVolt3=-|Farbe=in seiner Farbe unbekannt|Flamme=|Elektronenkonfiguration=k.A.|EK-Wiki=k.A.|pre=Seaborgium|next=Hassium|Metall=Metall|E-Name=Bohrium|L-Name=|Verwendung=|Wortherkunft=Bohrium benannt nach Niels Bohr.|L-Abk. bzw. redirect=#REDIRECT [[Bohrium]]|radioaktiv=[[radioaktiv]]es&amp;nbsp;|hoch=Rhenium|runter=Bohrium|Bild-Element=|Bild-Verwendung=|www= wurde 1976 in UdSSR durch UdSSR-Gruppe entdeckt.|E-Gruppe=|Sonstiges-kurz=|OZ3=107|WL=nichda|Text= }}
[[Kategorie:Chemie]][[Kategorie:Chemikalien]]</v>
      </c>
      <c r="AT108" t="str">
        <f t="shared" si="35"/>
        <v xml:space="preserve"> wurde 1976 in UdSSR durch UdSSR-Gruppe entdeckt. http://www.webelements.com/webelements/elements/media/element-pics/Bh.jpg</v>
      </c>
    </row>
    <row r="109" spans="1:46" ht="248.4">
      <c r="A109">
        <v>108</v>
      </c>
      <c r="B109" t="s">
        <v>440</v>
      </c>
      <c r="C109" t="s">
        <v>746</v>
      </c>
      <c r="D109">
        <v>265</v>
      </c>
      <c r="E109" t="s">
        <v>1016</v>
      </c>
      <c r="F109" t="s">
        <v>1016</v>
      </c>
      <c r="G109" t="s">
        <v>1016</v>
      </c>
      <c r="H109" t="s">
        <v>1016</v>
      </c>
      <c r="I109">
        <v>1984</v>
      </c>
      <c r="J109" t="s">
        <v>191</v>
      </c>
      <c r="K109" t="s">
        <v>1120</v>
      </c>
      <c r="M109" t="s">
        <v>1016</v>
      </c>
      <c r="N109" s="103" t="s">
        <v>1068</v>
      </c>
      <c r="P109">
        <v>0</v>
      </c>
      <c r="Q109" s="103" t="s">
        <v>1068</v>
      </c>
      <c r="S109" s="103" t="s">
        <v>1068</v>
      </c>
      <c r="T109" t="s">
        <v>1226</v>
      </c>
      <c r="V109" t="s">
        <v>515</v>
      </c>
      <c r="W109" t="s">
        <v>515</v>
      </c>
      <c r="X109" t="str">
        <f t="shared" si="36"/>
        <v>Bohrium</v>
      </c>
      <c r="Y109" t="str">
        <f t="shared" ref="Y109:Y118" si="39">C110</f>
        <v>Meitnerium</v>
      </c>
      <c r="Z109" t="s">
        <v>989</v>
      </c>
      <c r="AA109" s="72" t="s">
        <v>746</v>
      </c>
      <c r="AB109" s="108"/>
      <c r="AC109" s="72"/>
      <c r="AD109" s="87" t="s">
        <v>292</v>
      </c>
      <c r="AE109" s="87" t="str">
        <f t="shared" si="9"/>
        <v>#REDIRECT [[Hassium]]</v>
      </c>
      <c r="AF109" s="46" t="s">
        <v>167</v>
      </c>
      <c r="AG109" t="s">
        <v>366</v>
      </c>
      <c r="AH109" t="str">
        <f t="shared" si="33"/>
        <v>Hassium</v>
      </c>
      <c r="AK109" t="str">
        <f t="shared" si="26"/>
        <v xml:space="preserve"> wurde 1984 in Deutschland durch GSI Darmstadt entdeckt.</v>
      </c>
      <c r="AN109">
        <f t="shared" si="37"/>
        <v>108</v>
      </c>
      <c r="AO109" t="s">
        <v>1236</v>
      </c>
      <c r="AP109" s="87" t="str">
        <f t="shared" si="34"/>
        <v xml:space="preserve">{{Element|Ordnungszahl=108|Symbol=Hs|Name=Hassium|Atommasse=265|EN= |BP= |MP= |Dichte= |Ionenradius=|Ivolt=-|Aradius= </v>
      </c>
      <c r="AQ109" s="87" t="str">
        <f t="shared" si="27"/>
        <v>|Enthalpie=0|IVolt2=-|Wert=|IVolt3=-|Farbe=in seiner Farbe unbekannt|Flamme=|Elektronenkonfiguration=k.A.|EK-Wiki=k.A.|pre=Bohrium|next=Meitnerium|Metall=Metall|E-Name=Hassium|L-Name=</v>
      </c>
      <c r="AR109" s="87" t="str">
        <f t="shared" si="28"/>
        <v>|Verwendung=|Wortherkunft=Hassium wurde erstmals 1984 bei der GSI in Darmstadt erzeugt. Seit 1997 trägt es seinen aktuellen Namen, der sich vom lateinischen Namen ''Hassia'' für das Bundesland Hessen ableitet.|L-Abk. bzw. redirect=#REDIRECT [[Hassium]]|radioaktiv=[[radioaktiv]]es&amp;nbsp;|hoch=Osmium|runter=Hassium|Bild-Element=|Bild-Verwendung=|www= wurde 1984 in Deutschland durch GSI Darmstadt entdeckt.|E-Gruppe=|Sonstiges-kurz=|OZ3=108|WL=nichda|Text= }}
[[Kategorie:Chemie]][[Kategorie:Chemikalien]]</v>
      </c>
      <c r="AS109" s="104" t="str">
        <f t="shared" si="38"/>
        <v>{{Element|Ordnungszahl=108|Symbol=Hs|Name=Hassium|Atommasse=265|EN= |BP= |MP= |Dichte= |Ionenradius=|Ivolt=-|Aradius= |Enthalpie=0|IVolt2=-|Wert=|IVolt3=-|Farbe=in seiner Farbe unbekannt|Flamme=|Elektronenkonfiguration=k.A.|EK-Wiki=k.A.|pre=Bohrium|next=Meitnerium|Metall=Metall|E-Name=Hassium|L-Name=|Verwendung=|Wortherkunft=Hassium wurde erstmals 1984 bei der GSI in Darmstadt erzeugt. Seit 1997 trägt es seinen aktuellen Namen, der sich vom lateinischen Namen ''Hassia'' für das Bundesland Hessen ableitet.|L-Abk. bzw. redirect=#REDIRECT [[Hassium]]|radioaktiv=[[radioaktiv]]es&amp;nbsp;|hoch=Osmium|runter=Hassium|Bild-Element=|Bild-Verwendung=|www= wurde 1984 in Deutschland durch GSI Darmstadt entdeckt.|E-Gruppe=|Sonstiges-kurz=|OZ3=108|WL=nichda|Text= }}
[[Kategorie:Chemie]][[Kategorie:Chemikalien]]</v>
      </c>
      <c r="AT109" t="str">
        <f t="shared" si="35"/>
        <v xml:space="preserve"> wurde 1984 in Deutschland durch GSI Darmstadt entdeckt. http://www.webelements.com/webelements/elements/media/element-pics/Hs.jpg</v>
      </c>
    </row>
    <row r="110" spans="1:46" ht="220.8">
      <c r="A110">
        <v>109</v>
      </c>
      <c r="B110" t="s">
        <v>441</v>
      </c>
      <c r="C110" t="s">
        <v>747</v>
      </c>
      <c r="D110">
        <v>266</v>
      </c>
      <c r="E110" t="s">
        <v>1016</v>
      </c>
      <c r="F110" t="s">
        <v>1016</v>
      </c>
      <c r="G110" t="s">
        <v>1016</v>
      </c>
      <c r="H110" t="s">
        <v>1016</v>
      </c>
      <c r="I110">
        <v>1982</v>
      </c>
      <c r="J110" t="s">
        <v>191</v>
      </c>
      <c r="K110" t="s">
        <v>1120</v>
      </c>
      <c r="M110" t="s">
        <v>1016</v>
      </c>
      <c r="N110" s="103" t="s">
        <v>1068</v>
      </c>
      <c r="P110">
        <v>0</v>
      </c>
      <c r="Q110" s="103" t="s">
        <v>1068</v>
      </c>
      <c r="S110" s="103" t="s">
        <v>1068</v>
      </c>
      <c r="T110" t="s">
        <v>1226</v>
      </c>
      <c r="V110" t="s">
        <v>515</v>
      </c>
      <c r="W110" t="s">
        <v>515</v>
      </c>
      <c r="X110" t="str">
        <f t="shared" si="36"/>
        <v>Hassium</v>
      </c>
      <c r="Y110" t="str">
        <f t="shared" si="39"/>
        <v>Darmstadtium</v>
      </c>
      <c r="Z110" t="s">
        <v>989</v>
      </c>
      <c r="AA110" s="72" t="s">
        <v>747</v>
      </c>
      <c r="AB110" s="108"/>
      <c r="AC110" s="72"/>
      <c r="AD110" s="87" t="s">
        <v>293</v>
      </c>
      <c r="AE110" s="87" t="str">
        <f t="shared" si="9"/>
        <v>#REDIRECT [[Meitnerium]]</v>
      </c>
      <c r="AF110" s="46" t="s">
        <v>167</v>
      </c>
      <c r="AG110" t="s">
        <v>369</v>
      </c>
      <c r="AH110" t="str">
        <f t="shared" si="33"/>
        <v>Meitnerium</v>
      </c>
      <c r="AK110" t="str">
        <f t="shared" si="26"/>
        <v xml:space="preserve"> wurde 1982 in Deutschland durch GSI Darmstadt entdeckt.</v>
      </c>
      <c r="AN110">
        <f t="shared" si="37"/>
        <v>109</v>
      </c>
      <c r="AO110" t="s">
        <v>1236</v>
      </c>
      <c r="AP110" s="87" t="str">
        <f t="shared" si="34"/>
        <v xml:space="preserve">{{Element|Ordnungszahl=109|Symbol=Mt|Name=Meitnerium|Atommasse=266|EN= |BP= |MP= |Dichte= |Ionenradius=|Ivolt=-|Aradius= </v>
      </c>
      <c r="AQ110" s="87" t="str">
        <f t="shared" si="27"/>
        <v>|Enthalpie=0|IVolt2=-|Wert=|IVolt3=-|Farbe=in seiner Farbe unbekannt|Flamme=|Elektronenkonfiguration=k.A.|EK-Wiki=k.A.|pre=Hassium|next=Darmstadtium|Metall=Metall|E-Name=Meitnerium|L-Name=</v>
      </c>
      <c r="AR110" s="87" t="str">
        <f t="shared" si="28"/>
        <v>|Verwendung=|Wortherkunft=Meitnerium, nach der österreichisch-schwedischen Physikerin und Mathematikerin Lise Meitner benannt.|L-Abk. bzw. redirect=#REDIRECT [[Meitnerium]]|radioaktiv=[[radioaktiv]]es&amp;nbsp;|hoch=Iridium|runter=Meitnerium|Bild-Element=|Bild-Verwendung=|www= wurde 1982 in Deutschland durch GSI Darmstadt entdeckt.|E-Gruppe=|Sonstiges-kurz=|OZ3=109|WL=nichda|Text= }}
[[Kategorie:Chemie]][[Kategorie:Chemikalien]]</v>
      </c>
      <c r="AS110" s="104" t="str">
        <f t="shared" si="38"/>
        <v>{{Element|Ordnungszahl=109|Symbol=Mt|Name=Meitnerium|Atommasse=266|EN= |BP= |MP= |Dichte= |Ionenradius=|Ivolt=-|Aradius= |Enthalpie=0|IVolt2=-|Wert=|IVolt3=-|Farbe=in seiner Farbe unbekannt|Flamme=|Elektronenkonfiguration=k.A.|EK-Wiki=k.A.|pre=Hassium|next=Darmstadtium|Metall=Metall|E-Name=Meitnerium|L-Name=|Verwendung=|Wortherkunft=Meitnerium, nach der österreichisch-schwedischen Physikerin und Mathematikerin Lise Meitner benannt.|L-Abk. bzw. redirect=#REDIRECT [[Meitnerium]]|radioaktiv=[[radioaktiv]]es&amp;nbsp;|hoch=Iridium|runter=Meitnerium|Bild-Element=|Bild-Verwendung=|www= wurde 1982 in Deutschland durch GSI Darmstadt entdeckt.|E-Gruppe=|Sonstiges-kurz=|OZ3=109|WL=nichda|Text= }}
[[Kategorie:Chemie]][[Kategorie:Chemikalien]]</v>
      </c>
      <c r="AT110" t="str">
        <f t="shared" si="35"/>
        <v xml:space="preserve"> wurde 1982 in Deutschland durch GSI Darmstadt entdeckt. http://www.webelements.com/webelements/elements/media/element-pics/Mt.jpg</v>
      </c>
    </row>
    <row r="111" spans="1:46" ht="220.8">
      <c r="A111">
        <v>110</v>
      </c>
      <c r="B111" t="s">
        <v>748</v>
      </c>
      <c r="C111" t="s">
        <v>749</v>
      </c>
      <c r="D111">
        <v>282</v>
      </c>
      <c r="E111" t="s">
        <v>1016</v>
      </c>
      <c r="F111" t="s">
        <v>1016</v>
      </c>
      <c r="G111" t="s">
        <v>1016</v>
      </c>
      <c r="H111" t="s">
        <v>1016</v>
      </c>
      <c r="I111">
        <v>1994</v>
      </c>
      <c r="J111" t="s">
        <v>191</v>
      </c>
      <c r="K111" t="s">
        <v>1120</v>
      </c>
      <c r="M111" t="s">
        <v>1016</v>
      </c>
      <c r="N111" s="103" t="s">
        <v>1068</v>
      </c>
      <c r="Q111" s="103" t="s">
        <v>1068</v>
      </c>
      <c r="S111" s="103" t="s">
        <v>1068</v>
      </c>
      <c r="T111" t="s">
        <v>1226</v>
      </c>
      <c r="V111" t="s">
        <v>515</v>
      </c>
      <c r="W111" t="s">
        <v>515</v>
      </c>
      <c r="X111" t="str">
        <f t="shared" si="36"/>
        <v>Meitnerium</v>
      </c>
      <c r="Y111" t="str">
        <f t="shared" si="39"/>
        <v>Roentgenium</v>
      </c>
      <c r="Z111" t="s">
        <v>989</v>
      </c>
      <c r="AA111" s="72" t="s">
        <v>749</v>
      </c>
      <c r="AB111" s="108"/>
      <c r="AC111" s="72"/>
      <c r="AD111" s="87" t="s">
        <v>294</v>
      </c>
      <c r="AE111" s="87" t="str">
        <f t="shared" si="9"/>
        <v>#REDIRECT [[Darmstadtium]]</v>
      </c>
      <c r="AF111" s="46" t="s">
        <v>167</v>
      </c>
      <c r="AG111" t="s">
        <v>372</v>
      </c>
      <c r="AH111" t="str">
        <f t="shared" si="33"/>
        <v>Darmstadtium</v>
      </c>
      <c r="AK111" t="str">
        <f t="shared" si="26"/>
        <v xml:space="preserve"> wurde 1994 in Deutschland durch GSI Darmstadt entdeckt.</v>
      </c>
      <c r="AN111">
        <f t="shared" si="37"/>
        <v>110</v>
      </c>
      <c r="AO111" t="s">
        <v>1236</v>
      </c>
      <c r="AP111" s="87" t="str">
        <f t="shared" si="34"/>
        <v xml:space="preserve">{{Element|Ordnungszahl=110|Symbol=Ds|Name=Darmstadtium|Atommasse=282|EN= |BP= |MP= |Dichte= |Ionenradius=|Ivolt=-|Aradius= </v>
      </c>
      <c r="AQ111" s="87" t="str">
        <f t="shared" si="27"/>
        <v>|Enthalpie=|IVolt2=-|Wert=|IVolt3=-|Farbe=in seiner Farbe unbekannt|Flamme=|Elektronenkonfiguration=k.A.|EK-Wiki=k.A.|pre=Meitnerium|next=Roentgenium|Metall=Metall|E-Name=Darmstadtium|L-Name=</v>
      </c>
      <c r="AR111" s="87" t="str">
        <f t="shared" si="28"/>
        <v>|Verwendung=|Wortherkunft=nach der Stadt Darmstadt getauft|L-Abk. bzw. redirect=#REDIRECT [[Darmstadtium]]|radioaktiv=[[radioaktiv]]es&amp;nbsp;|hoch=Platin|runter=Darmstadtium|Bild-Element=|Bild-Verwendung=|www= wurde 1994 in Deutschland durch GSI Darmstadt entdeckt.|E-Gruppe=|Sonstiges-kurz=|OZ3=110|WL=nichda|Text= }}
[[Kategorie:Chemie]][[Kategorie:Chemikalien]]</v>
      </c>
      <c r="AS111" s="104" t="str">
        <f t="shared" si="38"/>
        <v>{{Element|Ordnungszahl=110|Symbol=Ds|Name=Darmstadtium|Atommasse=282|EN= |BP= |MP= |Dichte= |Ionenradius=|Ivolt=-|Aradius= |Enthalpie=|IVolt2=-|Wert=|IVolt3=-|Farbe=in seiner Farbe unbekannt|Flamme=|Elektronenkonfiguration=k.A.|EK-Wiki=k.A.|pre=Meitnerium|next=Roentgenium|Metall=Metall|E-Name=Darmstadtium|L-Name=|Verwendung=|Wortherkunft=nach der Stadt Darmstadt getauft|L-Abk. bzw. redirect=#REDIRECT [[Darmstadtium]]|radioaktiv=[[radioaktiv]]es&amp;nbsp;|hoch=Platin|runter=Darmstadtium|Bild-Element=|Bild-Verwendung=|www= wurde 1994 in Deutschland durch GSI Darmstadt entdeckt.|E-Gruppe=|Sonstiges-kurz=|OZ3=110|WL=nichda|Text= }}
[[Kategorie:Chemie]][[Kategorie:Chemikalien]]</v>
      </c>
      <c r="AT111" t="str">
        <f t="shared" si="35"/>
        <v xml:space="preserve"> wurde 1994 in Deutschland durch GSI Darmstadt entdeckt. http://www.webelements.com/webelements/elements/media/element-pics/Ds.jpg</v>
      </c>
    </row>
    <row r="112" spans="1:46" ht="234.6">
      <c r="A112">
        <v>111</v>
      </c>
      <c r="B112" t="s">
        <v>751</v>
      </c>
      <c r="C112" t="s">
        <v>750</v>
      </c>
      <c r="D112">
        <v>280</v>
      </c>
      <c r="E112" t="s">
        <v>1016</v>
      </c>
      <c r="F112" t="s">
        <v>1016</v>
      </c>
      <c r="G112" t="s">
        <v>1016</v>
      </c>
      <c r="H112" t="s">
        <v>1016</v>
      </c>
      <c r="I112">
        <v>1994</v>
      </c>
      <c r="J112" t="s">
        <v>191</v>
      </c>
      <c r="K112" t="s">
        <v>1120</v>
      </c>
      <c r="M112" t="s">
        <v>1016</v>
      </c>
      <c r="N112" s="103" t="s">
        <v>1068</v>
      </c>
      <c r="Q112" s="103" t="s">
        <v>1068</v>
      </c>
      <c r="S112" s="103" t="s">
        <v>1068</v>
      </c>
      <c r="T112" t="s">
        <v>1226</v>
      </c>
      <c r="V112" t="s">
        <v>515</v>
      </c>
      <c r="W112" t="s">
        <v>515</v>
      </c>
      <c r="X112" t="str">
        <f t="shared" si="36"/>
        <v>Darmstadtium</v>
      </c>
      <c r="Y112" t="str">
        <f t="shared" si="39"/>
        <v>Copernicium</v>
      </c>
      <c r="Z112" t="s">
        <v>989</v>
      </c>
      <c r="AA112" s="72" t="s">
        <v>750</v>
      </c>
      <c r="AB112" s="108"/>
      <c r="AC112" s="72"/>
      <c r="AD112" s="87" t="s">
        <v>295</v>
      </c>
      <c r="AE112" s="87" t="str">
        <f t="shared" si="9"/>
        <v>#REDIRECT [[Roentgenium]]</v>
      </c>
      <c r="AF112" s="46" t="s">
        <v>167</v>
      </c>
      <c r="AG112" t="s">
        <v>375</v>
      </c>
      <c r="AH112" t="str">
        <f t="shared" si="33"/>
        <v>Roentgenium</v>
      </c>
      <c r="AK112" t="str">
        <f t="shared" si="26"/>
        <v xml:space="preserve"> wurde 1994 in Deutschland durch GSI Darmstadt entdeckt.</v>
      </c>
      <c r="AN112">
        <f t="shared" si="37"/>
        <v>111</v>
      </c>
      <c r="AO112" t="s">
        <v>1236</v>
      </c>
      <c r="AP112" s="87" t="str">
        <f t="shared" si="34"/>
        <v xml:space="preserve">{{Element|Ordnungszahl=111|Symbol=Rg|Name=Roentgenium|Atommasse=280|EN= |BP= |MP= |Dichte= |Ionenradius=|Ivolt=-|Aradius= </v>
      </c>
      <c r="AQ112" s="87" t="str">
        <f t="shared" si="27"/>
        <v>|Enthalpie=|IVolt2=-|Wert=|IVolt3=-|Farbe=in seiner Farbe unbekannt|Flamme=|Elektronenkonfiguration=k.A.|EK-Wiki=k.A.|pre=Darmstadtium|next=Copernicium|Metall=Metall|E-Name=Roentgenium|L-Name=</v>
      </c>
      <c r="AR112" s="87" t="str">
        <f t="shared" si="28"/>
        <v>|Verwendung=|Wortherkunft=Zu Ehren des Physikers Wilhelm Conrad Röntgen benannt.|L-Abk. bzw. redirect=#REDIRECT [[Roentgenium]]|radioaktiv=[[radioaktiv]]es&amp;nbsp;|hoch=Gold|runter=Roentgenium|Bild-Element=|Bild-Verwendung=|www= wurde 1994 in Deutschland durch GSI Darmstadt entdeckt.|E-Gruppe=|Sonstiges-kurz=|OZ3=111|WL=nichda|Text= }}
[[Kategorie:Chemie]][[Kategorie:Chemikalien]]</v>
      </c>
      <c r="AS112" s="104" t="str">
        <f t="shared" si="38"/>
        <v>{{Element|Ordnungszahl=111|Symbol=Rg|Name=Roentgenium|Atommasse=280|EN= |BP= |MP= |Dichte= |Ionenradius=|Ivolt=-|Aradius= |Enthalpie=|IVolt2=-|Wert=|IVolt3=-|Farbe=in seiner Farbe unbekannt|Flamme=|Elektronenkonfiguration=k.A.|EK-Wiki=k.A.|pre=Darmstadtium|next=Copernicium|Metall=Metall|E-Name=Roentgenium|L-Name=|Verwendung=|Wortherkunft=Zu Ehren des Physikers Wilhelm Conrad Röntgen benannt.|L-Abk. bzw. redirect=#REDIRECT [[Roentgenium]]|radioaktiv=[[radioaktiv]]es&amp;nbsp;|hoch=Gold|runter=Roentgenium|Bild-Element=|Bild-Verwendung=|www= wurde 1994 in Deutschland durch GSI Darmstadt entdeckt.|E-Gruppe=|Sonstiges-kurz=|OZ3=111|WL=nichda|Text= }}
[[Kategorie:Chemie]][[Kategorie:Chemikalien]]</v>
      </c>
      <c r="AT112" t="str">
        <f t="shared" si="35"/>
        <v xml:space="preserve"> wurde 1994 in Deutschland durch GSI Darmstadt entdeckt. http://www.webelements.com/webelements/elements/media/element-pics/Rg.jpg</v>
      </c>
    </row>
    <row r="113" spans="1:46" ht="207">
      <c r="A113">
        <v>112</v>
      </c>
      <c r="B113" t="s">
        <v>1248</v>
      </c>
      <c r="C113" t="s">
        <v>1238</v>
      </c>
      <c r="D113">
        <v>285</v>
      </c>
      <c r="M113" t="s">
        <v>1016</v>
      </c>
      <c r="N113" s="103" t="s">
        <v>1068</v>
      </c>
      <c r="Q113" s="103" t="s">
        <v>1068</v>
      </c>
      <c r="S113" s="103" t="s">
        <v>1068</v>
      </c>
      <c r="V113" t="s">
        <v>515</v>
      </c>
      <c r="W113" t="s">
        <v>515</v>
      </c>
      <c r="X113" t="str">
        <f t="shared" si="36"/>
        <v>Roentgenium</v>
      </c>
      <c r="Y113" t="str">
        <f t="shared" si="39"/>
        <v xml:space="preserve">Ununtrium </v>
      </c>
      <c r="Z113" t="s">
        <v>989</v>
      </c>
      <c r="AA113" t="s">
        <v>752</v>
      </c>
      <c r="AD113" s="87" t="s">
        <v>1167</v>
      </c>
      <c r="AE113" s="87" t="str">
        <f t="shared" si="9"/>
        <v>#REDIRECT [[Copernicium]]</v>
      </c>
      <c r="AF113" s="46" t="s">
        <v>167</v>
      </c>
      <c r="AG113" t="s">
        <v>378</v>
      </c>
      <c r="AH113" t="str">
        <f t="shared" si="33"/>
        <v>Copernicium</v>
      </c>
      <c r="AN113">
        <f t="shared" si="37"/>
        <v>112</v>
      </c>
      <c r="AO113" t="s">
        <v>1236</v>
      </c>
      <c r="AP113" s="87" t="str">
        <f t="shared" si="34"/>
        <v xml:space="preserve">{{Element|Ordnungszahl=112|Symbol=Cn|Name=Copernicium|Atommasse=285|EN=|BP=|MP=|Dichte=|Ionenradius=|Ivolt=-|Aradius= </v>
      </c>
      <c r="AQ113" s="87" t="str">
        <f t="shared" si="27"/>
        <v>|Enthalpie=|IVolt2=-|Wert=|IVolt3=-|Farbe=|Flamme=|Elektronenkonfiguration=k.A.|EK-Wiki=k.A.|pre=Roentgenium|next=Ununtrium |Metall=Metall|E-Name=Ununbium|L-Name=</v>
      </c>
      <c r="AR113" s="87" t="str">
        <f t="shared" si="28"/>
        <v>|Verwendung=|Wortherkunft=Copernicium wurde erstmals 1996 bei der GSI in Darmstadt erzeugt.|L-Abk. bzw. redirect=#REDIRECT [[Copernicium]]|radioaktiv=[[radioaktiv]]es&amp;nbsp;|hoch=Quecksilber|runter=Copernicium|Bild-Element=|Bild-Verwendung=|www=|E-Gruppe=|Sonstiges-kurz=|OZ3=112|WL=nichda|Text= }}
[[Kategorie:Chemie]][[Kategorie:Chemikalien]]</v>
      </c>
      <c r="AS113" s="104" t="str">
        <f t="shared" si="38"/>
        <v>{{Element|Ordnungszahl=112|Symbol=Cn|Name=Copernicium|Atommasse=285|EN=|BP=|MP=|Dichte=|Ionenradius=|Ivolt=-|Aradius= |Enthalpie=|IVolt2=-|Wert=|IVolt3=-|Farbe=|Flamme=|Elektronenkonfiguration=k.A.|EK-Wiki=k.A.|pre=Roentgenium|next=Ununtrium |Metall=Metall|E-Name=Ununbium|L-Name=|Verwendung=|Wortherkunft=Copernicium wurde erstmals 1996 bei der GSI in Darmstadt erzeugt.|L-Abk. bzw. redirect=#REDIRECT [[Copernicium]]|radioaktiv=[[radioaktiv]]es&amp;nbsp;|hoch=Quecksilber|runter=Copernicium|Bild-Element=|Bild-Verwendung=|www=|E-Gruppe=|Sonstiges-kurz=|OZ3=112|WL=nichda|Text= }}
[[Kategorie:Chemie]][[Kategorie:Chemikalien]]</v>
      </c>
      <c r="AT113" t="str">
        <f t="shared" si="35"/>
        <v xml:space="preserve"> http://www.webelements.com/webelements/elements/media/element-pics/Cn.jpg</v>
      </c>
    </row>
    <row r="114" spans="1:46" ht="207">
      <c r="A114">
        <v>113</v>
      </c>
      <c r="B114" t="s">
        <v>753</v>
      </c>
      <c r="C114" t="s">
        <v>754</v>
      </c>
      <c r="M114" t="s">
        <v>1016</v>
      </c>
      <c r="N114" s="103" t="s">
        <v>1068</v>
      </c>
      <c r="Q114" s="103" t="s">
        <v>1068</v>
      </c>
      <c r="S114" s="103" t="s">
        <v>1068</v>
      </c>
      <c r="V114" t="s">
        <v>515</v>
      </c>
      <c r="W114" t="s">
        <v>515</v>
      </c>
      <c r="X114" t="str">
        <f t="shared" si="36"/>
        <v>Copernicium</v>
      </c>
      <c r="Y114" t="str">
        <f t="shared" si="39"/>
        <v>Flerovium</v>
      </c>
      <c r="Z114" t="s">
        <v>989</v>
      </c>
      <c r="AA114" t="s">
        <v>754</v>
      </c>
      <c r="AD114" s="87" t="s">
        <v>296</v>
      </c>
      <c r="AE114" s="87" t="str">
        <f t="shared" si="9"/>
        <v>#REDIRECT [[Ununtrium ]]</v>
      </c>
      <c r="AF114" s="46" t="s">
        <v>167</v>
      </c>
      <c r="AG114" t="s">
        <v>381</v>
      </c>
      <c r="AH114" t="str">
        <f t="shared" si="33"/>
        <v xml:space="preserve">Ununtrium </v>
      </c>
      <c r="AK114" t="str">
        <f t="shared" si="26"/>
        <v xml:space="preserve"> wurde  in  durch  entdeckt.</v>
      </c>
      <c r="AN114">
        <f t="shared" si="37"/>
        <v>113</v>
      </c>
      <c r="AO114" t="s">
        <v>1236</v>
      </c>
      <c r="AP114" s="87" t="str">
        <f t="shared" si="34"/>
        <v xml:space="preserve">{{Element|Ordnungszahl=113|Symbol=Uut|Name=Ununtrium |Atommasse=|EN=|BP=|MP=|Dichte=|Ionenradius=|Ivolt=-|Aradius= </v>
      </c>
      <c r="AQ114" s="87" t="str">
        <f t="shared" si="27"/>
        <v>|Enthalpie=|IVolt2=-|Wert=|IVolt3=-|Farbe=|Flamme=|Elektronenkonfiguration=k.A.|EK-Wiki=k.A.|pre=Copernicium|next=Flerovium|Metall=Metall|E-Name=Ununtrium |L-Name=</v>
      </c>
      <c r="AR114" s="87" t="str">
        <f t="shared" si="28"/>
        <v>|Verwendung=|Wortherkunft=Ununtrium soll 2003 erzeugt worden sein.|L-Abk. bzw. redirect=#REDIRECT [[Ununtrium ]]|radioaktiv=[[radioaktiv]]es&amp;nbsp;|hoch=Thallium|runter=Ununtrium |Bild-Element=|Bild-Verwendung=|www= wurde  in  durch  entdeckt.|E-Gruppe=|Sonstiges-kurz=|OZ3=113|WL=nichda|Text= }}
[[Kategorie:Chemie]][[Kategorie:Chemikalien]]</v>
      </c>
      <c r="AS114" s="104" t="str">
        <f t="shared" si="38"/>
        <v>{{Element|Ordnungszahl=113|Symbol=Uut|Name=Ununtrium |Atommasse=|EN=|BP=|MP=|Dichte=|Ionenradius=|Ivolt=-|Aradius= |Enthalpie=|IVolt2=-|Wert=|IVolt3=-|Farbe=|Flamme=|Elektronenkonfiguration=k.A.|EK-Wiki=k.A.|pre=Copernicium|next=Flerovium|Metall=Metall|E-Name=Ununtrium |L-Name=|Verwendung=|Wortherkunft=Ununtrium soll 2003 erzeugt worden sein.|L-Abk. bzw. redirect=#REDIRECT [[Ununtrium ]]|radioaktiv=[[radioaktiv]]es&amp;nbsp;|hoch=Thallium|runter=Ununtrium |Bild-Element=|Bild-Verwendung=|www= wurde  in  durch  entdeckt.|E-Gruppe=|Sonstiges-kurz=|OZ3=113|WL=nichda|Text= }}
[[Kategorie:Chemie]][[Kategorie:Chemikalien]]</v>
      </c>
      <c r="AT114" t="str">
        <f t="shared" si="35"/>
        <v xml:space="preserve"> wurde  in  durch  entdeckt. http://www.webelements.com/webelements/elements/media/element-pics/Uut.jpg</v>
      </c>
    </row>
    <row r="115" spans="1:46" ht="162" customHeight="1">
      <c r="A115">
        <v>114</v>
      </c>
      <c r="B115" t="s">
        <v>1255</v>
      </c>
      <c r="C115" s="158" t="s">
        <v>1256</v>
      </c>
      <c r="D115" s="157">
        <v>289</v>
      </c>
      <c r="M115" t="s">
        <v>1016</v>
      </c>
      <c r="N115" s="103" t="s">
        <v>1068</v>
      </c>
      <c r="Q115" s="103" t="s">
        <v>1068</v>
      </c>
      <c r="S115" s="103" t="s">
        <v>1068</v>
      </c>
      <c r="X115" t="str">
        <f t="shared" si="36"/>
        <v xml:space="preserve">Ununtrium </v>
      </c>
      <c r="Y115" t="str">
        <f t="shared" si="39"/>
        <v>Ununpentium</v>
      </c>
      <c r="Z115" t="s">
        <v>989</v>
      </c>
      <c r="AA115" t="s">
        <v>755</v>
      </c>
      <c r="AD115" s="87" t="s">
        <v>297</v>
      </c>
      <c r="AE115" s="87" t="str">
        <f t="shared" si="9"/>
        <v>#REDIRECT [[Flerovium]]</v>
      </c>
      <c r="AF115" s="46" t="s">
        <v>167</v>
      </c>
      <c r="AG115" t="s">
        <v>385</v>
      </c>
      <c r="AH115" t="str">
        <f t="shared" si="33"/>
        <v>Flerovium</v>
      </c>
      <c r="AK115" t="str">
        <f t="shared" si="26"/>
        <v xml:space="preserve"> wurde  in  durch  entdeckt.</v>
      </c>
      <c r="AN115">
        <f t="shared" si="37"/>
        <v>114</v>
      </c>
      <c r="AO115" t="s">
        <v>1236</v>
      </c>
      <c r="AP115" s="87" t="str">
        <f t="shared" si="34"/>
        <v xml:space="preserve">{{Element|Ordnungszahl=114|Symbol=Fl|Name=Flerovium|Atommasse=289|EN=|BP=|MP=|Dichte=|Ionenradius=|Ivolt=-|Aradius= </v>
      </c>
      <c r="AQ115" s="87" t="str">
        <f t="shared" si="27"/>
        <v>|Enthalpie=|IVolt2=-|Wert=|IVolt3=-|Farbe=|Flamme=|Elektronenkonfiguration=|EK-Wiki=|pre=Ununtrium |next=Ununpentium|Metall=Metall|E-Name=Ununquadium|L-Name=</v>
      </c>
      <c r="AR115" s="87" t="str">
        <f t="shared" si="28"/>
        <v>|Verwendung=|Wortherkunft=Ununquadium wurde vermutlich erstmals 1999 erzeugt. Die Entdeckung wurde bei der IUPAC eingereicht, aber von dieser noch nicht bestätigt. Einen offiziellen Namen erhält das Element erst, wenn diese Bestätigung erfolgt ist.|L-Abk. bzw. redirect=#REDIRECT [[Flerovium]]|radioaktiv=[[radioaktiv]]es&amp;nbsp;|hoch=Blei|runter=Flerovium|Bild-Element=|Bild-Verwendung=|www= wurde  in  durch  entdeckt.|E-Gruppe=|Sonstiges-kurz=|OZ3=114|WL=nichda|Text= }}
[[Kategorie:Chemie]][[Kategorie:Chemikalien]]</v>
      </c>
      <c r="AS115" s="104" t="str">
        <f t="shared" si="38"/>
        <v>{{Element|Ordnungszahl=114|Symbol=Fl|Name=Flerovium|Atommasse=289|EN=|BP=|MP=|Dichte=|Ionenradius=|Ivolt=-|Aradius= |Enthalpie=|IVolt2=-|Wert=|IVolt3=-|Farbe=|Flamme=|Elektronenkonfiguration=|EK-Wiki=|pre=Ununtrium |next=Ununpentium|Metall=Metall|E-Name=Ununquadium|L-Name=|Verwendung=|Wortherkunft=Ununquadium wurde vermutlich erstmals 1999 erzeugt. Die Entdeckung wurde bei der IUPAC eingereicht, aber von dieser noch nicht bestätigt. Einen offiziellen Namen erhält das Element erst, wenn diese Bestätigung erfolgt ist.|L-Abk. bzw. redirect=#REDIRECT [[Flerovium]]|radioaktiv=[[radioaktiv]]es&amp;nbsp;|hoch=Blei|runter=Flerovium|Bild-Element=|Bild-Verwendung=|www= wurde  in  durch  entdeckt.|E-Gruppe=|Sonstiges-kurz=|OZ3=114|WL=nichda|Text= }}
[[Kategorie:Chemie]][[Kategorie:Chemikalien]]</v>
      </c>
      <c r="AT115" t="str">
        <f t="shared" si="35"/>
        <v xml:space="preserve"> wurde  in  durch  entdeckt. http://www.webelements.com/webelements/elements/media/element-pics/Fl.jpg</v>
      </c>
    </row>
    <row r="116" spans="1:46" ht="220.8">
      <c r="A116">
        <v>115</v>
      </c>
      <c r="B116" t="s">
        <v>758</v>
      </c>
      <c r="C116" t="s">
        <v>761</v>
      </c>
      <c r="D116">
        <v>291</v>
      </c>
      <c r="G116" s="72"/>
      <c r="K116" s="72"/>
      <c r="M116" s="72"/>
      <c r="N116" s="103" t="s">
        <v>1068</v>
      </c>
      <c r="Q116" s="103" t="s">
        <v>1068</v>
      </c>
      <c r="S116" s="103" t="s">
        <v>1068</v>
      </c>
      <c r="X116" t="str">
        <f t="shared" si="36"/>
        <v>Flerovium</v>
      </c>
      <c r="Y116" t="str">
        <f t="shared" si="39"/>
        <v>Livermorium</v>
      </c>
      <c r="Z116" t="s">
        <v>989</v>
      </c>
      <c r="AA116" t="s">
        <v>761</v>
      </c>
      <c r="AD116" s="87" t="s">
        <v>4</v>
      </c>
      <c r="AE116" s="87" t="str">
        <f>CONCATENATE("#REDIRECT [[",C116,"]]")</f>
        <v>#REDIRECT [[Ununpentium]]</v>
      </c>
      <c r="AF116" s="46" t="s">
        <v>167</v>
      </c>
      <c r="AG116" t="s">
        <v>387</v>
      </c>
      <c r="AH116" t="str">
        <f t="shared" si="33"/>
        <v>Ununpentium</v>
      </c>
      <c r="AK116" t="str">
        <f t="shared" si="26"/>
        <v xml:space="preserve"> wurde  in  durch  entdeckt.</v>
      </c>
      <c r="AN116">
        <f t="shared" si="37"/>
        <v>115</v>
      </c>
      <c r="AO116" t="s">
        <v>1236</v>
      </c>
      <c r="AP116" s="87" t="str">
        <f t="shared" si="34"/>
        <v>{{Element|Ordnungszahl=115|Symbol=Uup|Name=Ununpentium|Atommasse=291|EN=|BP=|MP=|Dichte=|Ionenradius=|Ivolt=-|Aradius=</v>
      </c>
      <c r="AQ116" s="87" t="str">
        <f t="shared" si="27"/>
        <v>|Enthalpie=|IVolt2=-|Wert=|IVolt3=-|Farbe=|Flamme=|Elektronenkonfiguration=|EK-Wiki=|pre=Flerovium|next=Livermorium|Metall=Metall|E-Name=Ununpentium|L-Name=</v>
      </c>
      <c r="AR116" s="87" t="str">
        <f t="shared" si="28"/>
        <v>|Verwendung=|Wortherkunft=Der Name Ununpentium ist abgeleitet von lat. ''unus'' = eins (2x) und griech. ''pente'' = fünf - entsprechend der Ordnungszahl 115. |L-Abk. bzw. redirect=#REDIRECT [[Ununpentium]]|radioaktiv=[[radioaktiv]]es&amp;nbsp;|hoch=Bismut|runter=Ununpentium|Bild-Element=|Bild-Verwendung=|www= wurde  in  durch  entdeckt.|E-Gruppe=|Sonstiges-kurz=|OZ3=115|WL=nichda|Text= }}
[[Kategorie:Chemie]][[Kategorie:Chemikalien]]</v>
      </c>
      <c r="AS116" s="104" t="str">
        <f t="shared" si="38"/>
        <v>{{Element|Ordnungszahl=115|Symbol=Uup|Name=Ununpentium|Atommasse=291|EN=|BP=|MP=|Dichte=|Ionenradius=|Ivolt=-|Aradius=|Enthalpie=|IVolt2=-|Wert=|IVolt3=-|Farbe=|Flamme=|Elektronenkonfiguration=|EK-Wiki=|pre=Flerovium|next=Livermorium|Metall=Metall|E-Name=Ununpentium|L-Name=|Verwendung=|Wortherkunft=Der Name Ununpentium ist abgeleitet von lat. ''unus'' = eins (2x) und griech. ''pente'' = fünf - entsprechend der Ordnungszahl 115. |L-Abk. bzw. redirect=#REDIRECT [[Ununpentium]]|radioaktiv=[[radioaktiv]]es&amp;nbsp;|hoch=Bismut|runter=Ununpentium|Bild-Element=|Bild-Verwendung=|www= wurde  in  durch  entdeckt.|E-Gruppe=|Sonstiges-kurz=|OZ3=115|WL=nichda|Text= }}
[[Kategorie:Chemie]][[Kategorie:Chemikalien]]</v>
      </c>
      <c r="AT116" t="str">
        <f t="shared" si="35"/>
        <v xml:space="preserve"> wurde  in  durch  entdeckt. http://www.webelements.com/webelements/elements/media/element-pics/Uup.jpg</v>
      </c>
    </row>
    <row r="117" spans="1:46" ht="220.8">
      <c r="A117">
        <v>116</v>
      </c>
      <c r="B117" t="s">
        <v>1258</v>
      </c>
      <c r="C117" s="158" t="s">
        <v>1257</v>
      </c>
      <c r="D117">
        <v>293</v>
      </c>
      <c r="G117" s="72"/>
      <c r="K117" s="72"/>
      <c r="N117" s="103" t="s">
        <v>1068</v>
      </c>
      <c r="Q117" s="103" t="s">
        <v>1068</v>
      </c>
      <c r="S117" s="103" t="s">
        <v>1068</v>
      </c>
      <c r="X117" t="str">
        <f t="shared" si="36"/>
        <v>Ununpentium</v>
      </c>
      <c r="Y117" t="str">
        <f t="shared" si="39"/>
        <v>Ununseptium</v>
      </c>
      <c r="Z117" t="s">
        <v>989</v>
      </c>
      <c r="AA117" t="s">
        <v>756</v>
      </c>
      <c r="AD117" s="87" t="s">
        <v>298</v>
      </c>
      <c r="AE117" s="87" t="str">
        <f>CONCATENATE("#REDIRECT [[",C117,"]]")</f>
        <v>#REDIRECT [[Livermorium]]</v>
      </c>
      <c r="AF117" s="46" t="s">
        <v>167</v>
      </c>
      <c r="AG117" t="s">
        <v>391</v>
      </c>
      <c r="AH117" t="str">
        <f t="shared" si="33"/>
        <v>Livermorium</v>
      </c>
      <c r="AK117" t="str">
        <f t="shared" si="26"/>
        <v xml:space="preserve"> wurde  in  durch  entdeckt.</v>
      </c>
      <c r="AN117">
        <f t="shared" si="37"/>
        <v>116</v>
      </c>
      <c r="AO117" t="s">
        <v>1236</v>
      </c>
      <c r="AP117" s="87" t="str">
        <f t="shared" si="34"/>
        <v>{{Element|Ordnungszahl=116|Symbol=Lv|Name=Livermorium|Atommasse=293|EN=|BP=|MP=|Dichte=|Ionenradius=|Ivolt=-|Aradius=</v>
      </c>
      <c r="AQ117" s="87" t="str">
        <f t="shared" si="27"/>
        <v>|Enthalpie=|IVolt2=-|Wert=|IVolt3=-|Farbe=|Flamme=|Elektronenkonfiguration=|EK-Wiki=|pre=Ununpentium|next=Ununseptium|Metall=Metall|E-Name=Ununhexium|L-Name=</v>
      </c>
      <c r="AR117" s="87" t="str">
        <f t="shared" si="28"/>
        <v>|Verwendung=|Wortherkunft=Der Name Ununhexium ist abgeleitet von lat. ''unus'' = eins (2x) und griech. ''hex'' = sechs - entsprechend der Ordnungszahl 116.|L-Abk. bzw. redirect=#REDIRECT [[Livermorium]]|radioaktiv=[[radioaktiv]]es&amp;nbsp;|hoch=Polonium|runter=Livermorium|Bild-Element=|Bild-Verwendung=|www= wurde  in  durch  entdeckt.|E-Gruppe=|Sonstiges-kurz=|OZ3=116|WL=nichda|Text= }}
[[Kategorie:Chemie]][[Kategorie:Chemikalien]]</v>
      </c>
      <c r="AS117" s="104" t="str">
        <f t="shared" si="38"/>
        <v>{{Element|Ordnungszahl=116|Symbol=Lv|Name=Livermorium|Atommasse=293|EN=|BP=|MP=|Dichte=|Ionenradius=|Ivolt=-|Aradius=|Enthalpie=|IVolt2=-|Wert=|IVolt3=-|Farbe=|Flamme=|Elektronenkonfiguration=|EK-Wiki=|pre=Ununpentium|next=Ununseptium|Metall=Metall|E-Name=Ununhexium|L-Name=|Verwendung=|Wortherkunft=Der Name Ununhexium ist abgeleitet von lat. ''unus'' = eins (2x) und griech. ''hex'' = sechs - entsprechend der Ordnungszahl 116.|L-Abk. bzw. redirect=#REDIRECT [[Livermorium]]|radioaktiv=[[radioaktiv]]es&amp;nbsp;|hoch=Polonium|runter=Livermorium|Bild-Element=|Bild-Verwendung=|www= wurde  in  durch  entdeckt.|E-Gruppe=|Sonstiges-kurz=|OZ3=116|WL=nichda|Text= }}
[[Kategorie:Chemie]][[Kategorie:Chemikalien]]</v>
      </c>
      <c r="AT117" t="str">
        <f t="shared" si="35"/>
        <v xml:space="preserve"> wurde  in  durch  entdeckt. http://www.webelements.com/webelements/elements/media/element-pics/Lv.jpg</v>
      </c>
    </row>
    <row r="118" spans="1:46" ht="234.6">
      <c r="A118">
        <v>117</v>
      </c>
      <c r="B118" t="s">
        <v>763</v>
      </c>
      <c r="C118" t="s">
        <v>762</v>
      </c>
      <c r="G118" s="72"/>
      <c r="K118" s="72"/>
      <c r="N118" s="103" t="s">
        <v>1068</v>
      </c>
      <c r="Q118" s="103" t="s">
        <v>1068</v>
      </c>
      <c r="S118" s="103" t="s">
        <v>1068</v>
      </c>
      <c r="X118" t="str">
        <f t="shared" si="36"/>
        <v>Livermorium</v>
      </c>
      <c r="Y118" t="str">
        <f t="shared" si="39"/>
        <v>Ununoctium</v>
      </c>
      <c r="Z118" t="s">
        <v>989</v>
      </c>
      <c r="AA118" t="s">
        <v>762</v>
      </c>
      <c r="AD118" s="87" t="s">
        <v>299</v>
      </c>
      <c r="AE118" s="87" t="str">
        <f t="shared" si="9"/>
        <v>#REDIRECT [[Ununseptium]]</v>
      </c>
      <c r="AF118" s="46" t="s">
        <v>167</v>
      </c>
      <c r="AG118" t="s">
        <v>393</v>
      </c>
      <c r="AH118" t="str">
        <f t="shared" si="33"/>
        <v>Ununseptium</v>
      </c>
      <c r="AK118" t="str">
        <f t="shared" si="26"/>
        <v xml:space="preserve"> wurde  in  durch  entdeckt.</v>
      </c>
      <c r="AN118">
        <f t="shared" si="37"/>
        <v>117</v>
      </c>
      <c r="AO118" t="s">
        <v>1236</v>
      </c>
      <c r="AP118" s="87" t="str">
        <f t="shared" si="34"/>
        <v>{{Element|Ordnungszahl=117|Symbol=Uus|Name=Ununseptium|Atommasse=|EN=|BP=|MP=|Dichte=|Ionenradius=|Ivolt=-|Aradius=</v>
      </c>
      <c r="AQ118" s="87" t="str">
        <f t="shared" si="27"/>
        <v>|Enthalpie=|IVolt2=-|Wert=|IVolt3=-|Farbe=|Flamme=|Elektronenkonfiguration=|EK-Wiki=|pre=Livermorium|next=Ununoctium|Metall=Metall|E-Name=Ununseptium|L-Name=</v>
      </c>
      <c r="AR118" s="87" t="str">
        <f>CONCATENATE("|Verwendung=",AC118,"|Wortherkunft=",AD118,"|L-Abk. bzw. redirect=",AE118,"|radioaktiv=",AF118,"|hoch=",AG118,"|runter=",AH118,"|Bild-Element=",AI118,"|Bild-Verwendung=",AJ118,"|www=",AK118,"|E-Gruppe=",AL118,"|Sonstiges-kurz=",AM118,"|OZ3=",AN118,"|WL=",AO118,"}}
[[Kategorie:Chemie]][[Kategorie:Chemikalien]]")</f>
        <v>|Verwendung=|Wortherkunft=Der Name Ununseptium ist abgeleitet von lat. ''unus'' = eins (2x) und griech. ''hepte'' = sieben - entsprechend der Ordnungszahl 117. Der Name ist bis zur Namensgebung durch den ersten Entdecker vorläufig.|L-Abk. bzw. redirect=#REDIRECT [[Ununseptium]]|radioaktiv=[[radioaktiv]]es&amp;nbsp;|hoch=Astat|runter=Ununseptium|Bild-Element=|Bild-Verwendung=|www= wurde  in  durch  entdeckt.|E-Gruppe=|Sonstiges-kurz=|OZ3=117|WL=nichda}}
[[Kategorie:Chemie]][[Kategorie:Chemikalien]]</v>
      </c>
      <c r="AS118" s="104" t="str">
        <f t="shared" si="38"/>
        <v>{{Element|Ordnungszahl=117|Symbol=Uus|Name=Ununseptium|Atommasse=|EN=|BP=|MP=|Dichte=|Ionenradius=|Ivolt=-|Aradius=|Enthalpie=|IVolt2=-|Wert=|IVolt3=-|Farbe=|Flamme=|Elektronenkonfiguration=|EK-Wiki=|pre=Livermorium|next=Ununoctium|Metall=Metall|E-Name=Ununseptium|L-Name=|Verwendung=|Wortherkunft=Der Name Ununseptium ist abgeleitet von lat. ''unus'' = eins (2x) und griech. ''hepte'' = sieben - entsprechend der Ordnungszahl 117. Der Name ist bis zur Namensgebung durch den ersten Entdecker vorläufig.|L-Abk. bzw. redirect=#REDIRECT [[Ununseptium]]|radioaktiv=[[radioaktiv]]es&amp;nbsp;|hoch=Astat|runter=Ununseptium|Bild-Element=|Bild-Verwendung=|www= wurde  in  durch  entdeckt.|E-Gruppe=|Sonstiges-kurz=|OZ3=117|WL=nichda}}
[[Kategorie:Chemie]][[Kategorie:Chemikalien]]</v>
      </c>
      <c r="AT118" t="str">
        <f t="shared" si="35"/>
        <v xml:space="preserve"> wurde  in  durch  entdeckt. http://www.webelements.com/webelements/elements/media/element-pics/Uus.jpg</v>
      </c>
    </row>
    <row r="119" spans="1:46" ht="220.8">
      <c r="A119">
        <v>118</v>
      </c>
      <c r="B119" t="s">
        <v>764</v>
      </c>
      <c r="C119" t="s">
        <v>760</v>
      </c>
      <c r="G119" s="72"/>
      <c r="K119" s="72"/>
      <c r="N119" s="103" t="s">
        <v>1068</v>
      </c>
      <c r="Q119" s="103" t="s">
        <v>1068</v>
      </c>
      <c r="S119" s="103" t="s">
        <v>1068</v>
      </c>
      <c r="X119" t="str">
        <f t="shared" si="36"/>
        <v>Ununseptium</v>
      </c>
      <c r="Y119" t="str">
        <f>C119</f>
        <v>Ununoctium</v>
      </c>
      <c r="Z119" t="s">
        <v>989</v>
      </c>
      <c r="AA119" t="s">
        <v>760</v>
      </c>
      <c r="AD119" s="87" t="s">
        <v>300</v>
      </c>
      <c r="AE119" s="87" t="str">
        <f>CONCATENATE("#REDIRECT [[",C119,"]]")</f>
        <v>#REDIRECT [[Ununoctium]]</v>
      </c>
      <c r="AF119" s="46" t="s">
        <v>167</v>
      </c>
      <c r="AG119" t="s">
        <v>395</v>
      </c>
      <c r="AH119" t="str">
        <f t="shared" si="33"/>
        <v>Ununoctium</v>
      </c>
      <c r="AN119">
        <f t="shared" si="37"/>
        <v>118</v>
      </c>
      <c r="AO119" t="s">
        <v>1236</v>
      </c>
      <c r="AP119" t="str">
        <f>CONCATENATE("{{Element|Ordnungszahl=",A119,"|Symbol=",B119,"|Name=",C119,"|Atommasse=",D119,"|EN=",E119,"|BP=",F119,"|MP=",G119,"|Dichte=",H119,"|E-Jahr=",I119,"|E-von=",J119,"|E-Land=",K119,"|Ionenradius=",L119,"|Ivolt=",N119,"|Aradius=",M119)</f>
        <v>{{Element|Ordnungszahl=118|Symbol=Uuo|Name=Ununoctium|Atommasse=|EN=|BP=|MP=|Dichte=|E-Jahr=|E-von=|E-Land=|Ionenradius=|Ivolt=-|Aradius=</v>
      </c>
      <c r="AQ119" t="str">
        <f>CONCATENATE("|Enthalpie=",P119,"|IVolt2=",Q119,"|Wert=",R119,"|IVolt3=",S119,"|Farbe=",T119,"|Flamme=",U119,"|Elektronenkonfiguration=",V119,"|EK-Wiki=",W119,"|pre=",X119,"|next=",Y119,"|Metall=",Z119,"|E-Name=",AA119,"|L-Name=",AB119)</f>
        <v>|Enthalpie=|IVolt2=-|Wert=|IVolt3=-|Farbe=|Flamme=|Elektronenkonfiguration=|EK-Wiki=|pre=Ununseptium|next=Ununoctium|Metall=Metall|E-Name=Ununoctium|L-Name=</v>
      </c>
      <c r="AR119" s="87" t="str">
        <f>CONCATENATE("|Verwendung=",AC119,"|Wortherkunft=",AD119,"|L-Abk. bzw. redirect=",AE119,"|radioaktiv=",AF119,"|hoch=",AG119,"|runter=",AH119,"|Bild-Element=",AI119,"|Bild-Verwendung=",AJ119,"|www=",AK119,"|E-Gruppe=",AL119,"|Sonstiges-kurz=",AM119,"|OZ3=",AN119,"|WL=",AO119,"}}
[[Kategorie:Chemie]][[Kategorie:Chemikalien]]")</f>
        <v>|Verwendung=|Wortherkunft=Ununoctium (von lat. ''unus'' = eins (2x) und lat. ''octo'' = acht - entsprechend der Ordnungszahl 118).|L-Abk. bzw. redirect=#REDIRECT [[Ununoctium]]|radioaktiv=[[radioaktiv]]es&amp;nbsp;|hoch=Radon|runter=Ununoctium|Bild-Element=|Bild-Verwendung=|www=|E-Gruppe=|Sonstiges-kurz=|OZ3=118|WL=nichda}}
[[Kategorie:Chemie]][[Kategorie:Chemikalien]]</v>
      </c>
      <c r="AS119" s="104" t="str">
        <f t="shared" si="38"/>
        <v>{{Element|Ordnungszahl=118|Symbol=Uuo|Name=Ununoctium|Atommasse=|EN=|BP=|MP=|Dichte=|E-Jahr=|E-von=|E-Land=|Ionenradius=|Ivolt=-|Aradius=|Enthalpie=|IVolt2=-|Wert=|IVolt3=-|Farbe=|Flamme=|Elektronenkonfiguration=|EK-Wiki=|pre=Ununseptium|next=Ununoctium|Metall=Metall|E-Name=Ununoctium|L-Name=|Verwendung=|Wortherkunft=Ununoctium (von lat. ''unus'' = eins (2x) und lat. ''octo'' = acht - entsprechend der Ordnungszahl 118).|L-Abk. bzw. redirect=#REDIRECT [[Ununoctium]]|radioaktiv=[[radioaktiv]]es&amp;nbsp;|hoch=Radon|runter=Ununoctium|Bild-Element=|Bild-Verwendung=|www=|E-Gruppe=|Sonstiges-kurz=|OZ3=118|WL=nichda}}
[[Kategorie:Chemie]][[Kategorie:Chemikalien]]</v>
      </c>
      <c r="AT119" t="str">
        <f t="shared" si="35"/>
        <v xml:space="preserve"> http://www.webelements.com/webelements/elements/media/element-pics/Uuo.jpg</v>
      </c>
    </row>
  </sheetData>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codeName="Tabelle2">
    <pageSetUpPr fitToPage="1"/>
  </sheetPr>
  <dimension ref="A1:BF50"/>
  <sheetViews>
    <sheetView tabSelected="1" topLeftCell="A28" zoomScaleNormal="100" zoomScaleSheetLayoutView="144" workbookViewId="0">
      <selection activeCell="F3" sqref="F3"/>
    </sheetView>
  </sheetViews>
  <sheetFormatPr baseColWidth="10" defaultColWidth="8.59765625" defaultRowHeight="10.199999999999999"/>
  <cols>
    <col min="1" max="1" width="3.8984375" style="1" customWidth="1"/>
    <col min="2" max="2" width="4.09765625" style="1" customWidth="1"/>
    <col min="3" max="3" width="7.3984375" style="1" customWidth="1"/>
    <col min="4" max="4" width="4.09765625" style="1" customWidth="1"/>
    <col min="5" max="5" width="7.3984375" style="1" customWidth="1"/>
    <col min="6" max="6" width="7.3984375" style="91" customWidth="1"/>
    <col min="7" max="7" width="4.09765625" style="1" customWidth="1"/>
    <col min="8" max="8" width="7.3984375" style="1" customWidth="1"/>
    <col min="9" max="9" width="4.09765625" style="1" customWidth="1"/>
    <col min="10" max="10" width="7.3984375" style="1" customWidth="1"/>
    <col min="11" max="11" width="4.09765625" style="1" customWidth="1"/>
    <col min="12" max="12" width="7.3984375" style="1" customWidth="1"/>
    <col min="13" max="13" width="4.09765625" style="1" customWidth="1"/>
    <col min="14" max="14" width="7.3984375" style="1" customWidth="1"/>
    <col min="15" max="15" width="4.09765625" style="1" customWidth="1"/>
    <col min="16" max="16" width="7.3984375" style="1" customWidth="1"/>
    <col min="17" max="17" width="4.09765625" style="1" customWidth="1"/>
    <col min="18" max="18" width="7.3984375" style="1" customWidth="1"/>
    <col min="19" max="19" width="4.09765625" style="1" customWidth="1"/>
    <col min="20" max="20" width="7.3984375" style="1" customWidth="1"/>
    <col min="21" max="21" width="4.09765625" style="1" customWidth="1"/>
    <col min="22" max="22" width="7.3984375" style="1" customWidth="1"/>
    <col min="23" max="23" width="4.09765625" style="1" customWidth="1"/>
    <col min="24" max="24" width="7.3984375" style="1" customWidth="1"/>
    <col min="25" max="25" width="4.09765625" style="1" customWidth="1"/>
    <col min="26" max="26" width="7.3984375" style="1" customWidth="1"/>
    <col min="27" max="27" width="4.09765625" style="1" customWidth="1"/>
    <col min="28" max="28" width="7.3984375" style="1" customWidth="1"/>
    <col min="29" max="29" width="4.09765625" style="1" customWidth="1"/>
    <col min="30" max="30" width="7.3984375" style="1" customWidth="1"/>
    <col min="31" max="31" width="4.09765625" style="1" customWidth="1"/>
    <col min="32" max="32" width="7.3984375" style="1" customWidth="1"/>
    <col min="33" max="33" width="4.09765625" style="1" customWidth="1"/>
    <col min="34" max="34" width="7.3984375" style="1" customWidth="1"/>
    <col min="35" max="35" width="4.09765625" style="1" customWidth="1"/>
    <col min="36" max="36" width="7.3984375" style="1" customWidth="1"/>
    <col min="37" max="37" width="4.09765625" style="1" customWidth="1"/>
    <col min="38" max="38" width="7.3984375" style="1" customWidth="1"/>
    <col min="39" max="16384" width="8.59765625" style="1"/>
  </cols>
  <sheetData>
    <row r="1" spans="1:39" s="50" customFormat="1" ht="24" customHeight="1">
      <c r="B1" s="51" t="s">
        <v>998</v>
      </c>
      <c r="F1" s="90"/>
    </row>
    <row r="2" spans="1:39" ht="18" customHeight="1">
      <c r="A2" s="39"/>
      <c r="B2" s="112">
        <f ca="1">INDIRECT(ADDRESS(2-16*(COLUMN()&gt;5)+(COLUMN()-2)/2,1,4,,"PSE"),1)</f>
        <v>1</v>
      </c>
      <c r="C2" s="113">
        <f ca="1">INDIRECT(ADDRESS(2-16*(COLUMN()&gt;5)+(COLUMN()-2)/2,4,4,,"PSE"),1)</f>
        <v>1.0079400000000001</v>
      </c>
      <c r="G2" s="229" t="s">
        <v>995</v>
      </c>
      <c r="H2" s="229"/>
      <c r="I2" s="229"/>
      <c r="J2" s="229"/>
      <c r="K2" s="229"/>
      <c r="L2" s="229"/>
      <c r="M2" s="229"/>
      <c r="N2" s="229"/>
      <c r="O2" s="229"/>
      <c r="P2" s="229"/>
      <c r="Q2" s="229"/>
      <c r="R2" s="229"/>
      <c r="S2" s="229"/>
      <c r="T2" s="229"/>
      <c r="U2" s="229"/>
      <c r="V2" s="229"/>
      <c r="W2" s="229"/>
      <c r="X2" s="229"/>
      <c r="Y2" s="229"/>
      <c r="AK2" s="120">
        <f ca="1">INDIRECT(ADDRESS(3-16*(COLUMN()&gt;5)+(COLUMN()-5)/2,1,4,,"PSE"),1)</f>
        <v>2</v>
      </c>
      <c r="AL2" s="121">
        <f ca="1">INDIRECT(ADDRESS(3-16*(COLUMN()&gt;5)+(COLUMN()-5)/2,4,4,,"PSE"),1)</f>
        <v>4.0026020000000004</v>
      </c>
    </row>
    <row r="3" spans="1:39" ht="30" customHeight="1">
      <c r="A3" s="68" t="s">
        <v>702</v>
      </c>
      <c r="B3" s="114" t="str">
        <f ca="1">INDIRECT(ADDRESS(2-16*(COLUMN()&gt;5)+(COLUMN()-2)/2,8,4,,"PSE"),1)</f>
        <v>0,09 g/L</v>
      </c>
      <c r="C3" s="115" t="str">
        <f ca="1">INDIRECT(ADDRESS(2-16*(COLUMN()&gt;5)+(COLUMN()-2)/2,2,4,,"PSE"),1)</f>
        <v>H</v>
      </c>
      <c r="D3" s="66"/>
      <c r="E3" s="13"/>
      <c r="F3" s="92"/>
      <c r="G3" s="229"/>
      <c r="H3" s="229"/>
      <c r="I3" s="229"/>
      <c r="J3" s="229"/>
      <c r="K3" s="229"/>
      <c r="L3" s="229"/>
      <c r="M3" s="229"/>
      <c r="N3" s="229"/>
      <c r="O3" s="229"/>
      <c r="P3" s="229"/>
      <c r="Q3" s="229"/>
      <c r="R3" s="229"/>
      <c r="S3" s="229"/>
      <c r="T3" s="229"/>
      <c r="U3" s="229"/>
      <c r="V3" s="229"/>
      <c r="W3" s="229"/>
      <c r="X3" s="229"/>
      <c r="Y3" s="229"/>
      <c r="AA3" s="30"/>
      <c r="AG3" s="8"/>
      <c r="AH3" s="13"/>
      <c r="AI3" s="8"/>
      <c r="AJ3" s="67"/>
      <c r="AK3" s="122" t="str">
        <f ca="1">INDIRECT(ADDRESS(2-16*(COLUMN()&gt;5)+(COLUMN()-2)/2,8,4,,"PSE"),1)</f>
        <v>0,179 g/L</v>
      </c>
      <c r="AL3" s="123" t="str">
        <f ca="1">INDIRECT(ADDRESS(3-16*(COLUMN()&gt;5)+(COLUMN()-5)/2,2,4,,"PSE"),1)</f>
        <v>He</v>
      </c>
      <c r="AM3" s="63"/>
    </row>
    <row r="4" spans="1:39" ht="15" customHeight="1">
      <c r="A4" s="39"/>
      <c r="B4" s="196" t="str">
        <f ca="1">INDIRECT(ADDRESS(2-16*(COLUMN()&gt;5)+(COLUMN()-2)/2,3,4,,"PSE"),1)</f>
        <v>Wasserstoff</v>
      </c>
      <c r="C4" s="197"/>
      <c r="D4" s="9"/>
      <c r="E4" s="14"/>
      <c r="F4" s="93"/>
      <c r="G4" s="148"/>
      <c r="H4" s="139"/>
      <c r="I4" s="139"/>
      <c r="J4" s="139"/>
      <c r="K4" s="139"/>
      <c r="L4" s="139"/>
      <c r="M4" s="139"/>
      <c r="N4" s="139"/>
      <c r="O4" s="139"/>
      <c r="P4" s="139"/>
      <c r="Q4" s="139"/>
      <c r="S4" s="146" t="s">
        <v>1253</v>
      </c>
      <c r="T4" s="145" t="str">
        <f ca="1">TEXT(TODAY(),"TT.MM.JJJJ")</f>
        <v>04.03.2013</v>
      </c>
      <c r="U4" s="139"/>
      <c r="V4" s="139"/>
      <c r="W4" s="139"/>
      <c r="X4" s="139"/>
      <c r="Y4" s="139"/>
      <c r="Z4" s="14"/>
      <c r="AA4" s="31"/>
      <c r="AB4" s="31"/>
      <c r="AC4" s="31"/>
      <c r="AD4" s="31"/>
      <c r="AE4" s="31"/>
      <c r="AF4" s="31"/>
      <c r="AG4" s="9"/>
      <c r="AH4" s="14"/>
      <c r="AI4" s="9"/>
      <c r="AJ4" s="14"/>
      <c r="AK4" s="183" t="str">
        <f ca="1">INDIRECT(ADDRESS(2-16*(COLUMN()&gt;5)+(COLUMN()-2)/2,3,4,,"PSE"),1)</f>
        <v>Helium</v>
      </c>
      <c r="AL4" s="184"/>
    </row>
    <row r="5" spans="1:39" ht="14.25" customHeight="1">
      <c r="A5" s="39"/>
      <c r="B5" s="116">
        <f ca="1">INDIRECT(ADDRESS(2-16*(COLUMN()&gt;5)+(COLUMN()-2)/2,5,4,,"PSE"),1)</f>
        <v>2.1</v>
      </c>
      <c r="C5" s="117" t="str">
        <f ca="1">INDIRECT(ADDRESS(2-16*(COLUMN()&gt;5)+(COLUMN()-2)/2,6,4,,"PSE"),1)</f>
        <v>-253 °C</v>
      </c>
      <c r="D5" s="38"/>
      <c r="E5" s="15"/>
      <c r="F5" s="94"/>
      <c r="G5" s="10"/>
      <c r="H5" s="15"/>
      <c r="I5" s="10"/>
      <c r="J5" s="15"/>
      <c r="K5" s="10"/>
      <c r="M5" s="144"/>
      <c r="P5" s="144"/>
      <c r="Q5" s="10"/>
      <c r="R5" s="15"/>
      <c r="S5" s="10"/>
      <c r="T5" s="56"/>
      <c r="U5" s="57"/>
      <c r="V5" s="55"/>
      <c r="W5" s="10"/>
      <c r="X5" s="15"/>
      <c r="Y5" s="10"/>
      <c r="Z5" s="15"/>
      <c r="AA5" s="216" t="s">
        <v>1013</v>
      </c>
      <c r="AB5" s="217"/>
      <c r="AC5" s="217"/>
      <c r="AD5" s="217"/>
      <c r="AE5" s="217"/>
      <c r="AF5" s="217"/>
      <c r="AG5" s="62"/>
      <c r="AH5" s="62"/>
      <c r="AI5" s="10"/>
      <c r="AJ5" s="15"/>
      <c r="AK5" s="124">
        <f ca="1">INDIRECT(ADDRESS(2-16*(COLUMN()&gt;5)+(COLUMN()-2)/2,5,4,,"PSE"),1)</f>
        <v>0</v>
      </c>
      <c r="AL5" s="125" t="str">
        <f ca="1">INDIRECT(ADDRESS(3-16*(COLUMN()&gt;5)+(COLUMN()-5)/2,6,4,,"PSE"),1)</f>
        <v>-269 °C</v>
      </c>
    </row>
    <row r="6" spans="1:39" ht="12" customHeight="1">
      <c r="A6" s="39"/>
      <c r="B6" s="118">
        <f ca="1">INDIRECT(ADDRESS(2-16*(COLUMN()&gt;5)+(COLUMN()-2)/2,13,4,,"PSE"),1)</f>
        <v>37.299999999999997</v>
      </c>
      <c r="C6" s="119" t="str">
        <f ca="1">INDIRECT(ADDRESS(2-16*(COLUMN()&gt;5)+(COLUMN()-2)/2,7,4,,"PSE"),1)</f>
        <v>-259 °C</v>
      </c>
      <c r="K6" s="201" t="s">
        <v>1001</v>
      </c>
      <c r="L6" s="202"/>
      <c r="M6" s="202"/>
      <c r="N6" s="202"/>
      <c r="O6" s="202"/>
      <c r="P6" s="202"/>
      <c r="Q6" s="202"/>
      <c r="R6" s="202"/>
      <c r="S6" s="202"/>
      <c r="AA6" s="217"/>
      <c r="AB6" s="217"/>
      <c r="AC6" s="217"/>
      <c r="AD6" s="217"/>
      <c r="AE6" s="217"/>
      <c r="AF6" s="217"/>
      <c r="AK6" s="126">
        <f ca="1">INDIRECT(ADDRESS(2-16*(COLUMN()&gt;5)+(COLUMN()-2)/2,13,4,,"PSE"),1)</f>
        <v>128</v>
      </c>
      <c r="AL6" s="127" t="str">
        <f ca="1">INDIRECT(ADDRESS(3-16*(COLUMN()&gt;5)+(COLUMN()-5)/2,7,4,,"PSE"),1)</f>
        <v>-270 °C</v>
      </c>
    </row>
    <row r="7" spans="1:39" ht="15" customHeight="1">
      <c r="A7" s="39"/>
      <c r="B7" s="200" t="s">
        <v>1005</v>
      </c>
      <c r="C7" s="200"/>
      <c r="D7" s="187" t="s">
        <v>1006</v>
      </c>
      <c r="E7" s="187"/>
      <c r="F7" s="95"/>
      <c r="K7" s="202"/>
      <c r="L7" s="202"/>
      <c r="M7" s="202"/>
      <c r="N7" s="202"/>
      <c r="O7" s="202"/>
      <c r="P7" s="202"/>
      <c r="Q7" s="202"/>
      <c r="R7" s="202"/>
      <c r="S7" s="202"/>
      <c r="W7" s="32"/>
      <c r="X7" s="32"/>
      <c r="Y7" s="32"/>
      <c r="Z7" s="32"/>
      <c r="AA7" s="187" t="s">
        <v>1007</v>
      </c>
      <c r="AB7" s="187"/>
      <c r="AC7" s="187" t="s">
        <v>1008</v>
      </c>
      <c r="AD7" s="187"/>
      <c r="AE7" s="187" t="s">
        <v>1009</v>
      </c>
      <c r="AF7" s="187"/>
      <c r="AG7" s="187" t="s">
        <v>1010</v>
      </c>
      <c r="AH7" s="187"/>
      <c r="AI7" s="187" t="s">
        <v>1011</v>
      </c>
      <c r="AJ7" s="187"/>
      <c r="AK7" s="187" t="s">
        <v>1012</v>
      </c>
      <c r="AL7" s="187"/>
    </row>
    <row r="8" spans="1:39" ht="18" customHeight="1">
      <c r="A8" s="39"/>
      <c r="B8" s="6">
        <f ca="1">INDIRECT(ADDRESS(4-10*(COLUMN()&gt;5)+(COLUMN()-2)/2,1,4,,"PSE"),1)</f>
        <v>3</v>
      </c>
      <c r="C8" s="17">
        <f ca="1">INDIRECT(ADDRESS(4-10*(COLUMN()&gt;5)+(COLUMN()-2)/2,4,4,,"PSE"),1)</f>
        <v>6.9409999999999998</v>
      </c>
      <c r="D8" s="6">
        <f ca="1">INDIRECT(ADDRESS(4-10*(COLUMN()&gt;5)+(COLUMN()-2)/2,1,4,,"PSE"),1)</f>
        <v>4</v>
      </c>
      <c r="E8" s="17">
        <f ca="1">INDIRECT(ADDRESS(4-10*(COLUMN()&gt;5)+(COLUMN()-2)/2,4,4,,"PSE"),1)</f>
        <v>9.0121819999999992</v>
      </c>
      <c r="F8" s="96"/>
      <c r="J8" s="52" t="s">
        <v>1056</v>
      </c>
      <c r="K8" s="112">
        <v>1</v>
      </c>
      <c r="L8" s="113">
        <f ca="1">C2</f>
        <v>1.0079400000000001</v>
      </c>
      <c r="M8" s="143" t="s">
        <v>698</v>
      </c>
      <c r="Q8" s="203" t="s">
        <v>742</v>
      </c>
      <c r="R8" s="204"/>
      <c r="S8" s="211" t="s">
        <v>1003</v>
      </c>
      <c r="T8" s="212"/>
      <c r="U8" s="218" t="s">
        <v>1002</v>
      </c>
      <c r="V8" s="219"/>
      <c r="W8" s="11"/>
      <c r="X8" s="58"/>
      <c r="Y8" s="149"/>
      <c r="Z8" s="12"/>
      <c r="AA8" s="33">
        <f ca="1">INDIRECT(ADDRESS(5-10*(COLUMN()&gt;5)+(COLUMN()-5)/2,1,4,,"PSE"),1)</f>
        <v>5</v>
      </c>
      <c r="AB8" s="34">
        <f ca="1">INDIRECT(ADDRESS(5-10*(COLUMN()&gt;5)+(COLUMN()-5)/2,4,4,,"PSE"),1)</f>
        <v>10.811</v>
      </c>
      <c r="AC8" s="120">
        <f ca="1">INDIRECT(ADDRESS(5-10*(COLUMN()&gt;5)+(COLUMN()-5)/2,1,4,,"PSE"),1)</f>
        <v>6</v>
      </c>
      <c r="AD8" s="128">
        <f ca="1">INDIRECT(ADDRESS(5-10*(COLUMN()&gt;5)+(COLUMN()-5)/2,4,4,,"PSE"),1)</f>
        <v>12.0107</v>
      </c>
      <c r="AE8" s="120">
        <f ca="1">INDIRECT(ADDRESS(5-10*(COLUMN()&gt;5)+(COLUMN()-5)/2,1,4,,"PSE"),1)</f>
        <v>7</v>
      </c>
      <c r="AF8" s="128">
        <f ca="1">INDIRECT(ADDRESS(5-10*(COLUMN()&gt;5)+(COLUMN()-5)/2,4,4,,"PSE"),1)</f>
        <v>14.0067</v>
      </c>
      <c r="AG8" s="120">
        <f ca="1">INDIRECT(ADDRESS(5-10*(COLUMN()&gt;5)+(COLUMN()-5)/2,1,4,,"PSE"),1)</f>
        <v>8</v>
      </c>
      <c r="AH8" s="128">
        <f ca="1">INDIRECT(ADDRESS(5-10*(COLUMN()&gt;5)+(COLUMN()-5)/2,4,4,,"PSE"),1)</f>
        <v>15.9994</v>
      </c>
      <c r="AI8" s="120">
        <f ca="1">INDIRECT(ADDRESS(5-10*(COLUMN()&gt;5)+(COLUMN()-5)/2,1,4,,"PSE"),1)</f>
        <v>9</v>
      </c>
      <c r="AJ8" s="128">
        <f ca="1">INDIRECT(ADDRESS(5-10*(COLUMN()&gt;5)+(COLUMN()-5)/2,4,4,,"PSE"),1)</f>
        <v>18.998403199999998</v>
      </c>
      <c r="AK8" s="120">
        <f ca="1">INDIRECT(ADDRESS(5-10*(COLUMN()&gt;5)+(COLUMN()-5)/2,1,4,,"PSE"),1)</f>
        <v>10</v>
      </c>
      <c r="AL8" s="128">
        <f ca="1">INDIRECT(ADDRESS(5-10*(COLUMN()&gt;5)+(COLUMN()-5)/2,4,4,,"PSE"),1)</f>
        <v>20.1797</v>
      </c>
    </row>
    <row r="9" spans="1:39" ht="30" customHeight="1">
      <c r="A9" s="68" t="s">
        <v>703</v>
      </c>
      <c r="B9" s="64" t="str">
        <f ca="1">INDIRECT(ADDRESS(4-10*(COLUMN()&gt;5)+(COLUMN()-2)/2,8,4,,"PSE"),1)</f>
        <v>0,534 g/cm³</v>
      </c>
      <c r="C9" s="65" t="str">
        <f ca="1">INDIRECT(ADDRESS(4-10*(COLUMN()&gt;5)+(COLUMN()-2)/2,2,4,,"PSE"),1)</f>
        <v>Li</v>
      </c>
      <c r="D9" s="64" t="str">
        <f ca="1">INDIRECT(ADDRESS(4-10*(COLUMN()&gt;5)+(COLUMN()-2)/2,8,4,,"PSE"),1)</f>
        <v>1,86 g/cm³</v>
      </c>
      <c r="E9" s="65" t="str">
        <f ca="1">INDIRECT(ADDRESS(4-10*(COLUMN()&gt;5)+(COLUMN()-2)/2,2,4,,"PSE"),1)</f>
        <v>Be</v>
      </c>
      <c r="F9" s="97"/>
      <c r="G9" s="8"/>
      <c r="H9" s="223" t="s">
        <v>1254</v>
      </c>
      <c r="I9" s="221"/>
      <c r="J9" s="222"/>
      <c r="K9" s="114" t="str">
        <f ca="1">B3</f>
        <v>0,09 g/L</v>
      </c>
      <c r="L9" s="156" t="str">
        <f ca="1">C3</f>
        <v>H</v>
      </c>
      <c r="M9" s="220" t="s">
        <v>231</v>
      </c>
      <c r="N9" s="221"/>
      <c r="O9" s="221"/>
      <c r="P9" s="222"/>
      <c r="Q9" s="204"/>
      <c r="R9" s="204"/>
      <c r="S9" s="212"/>
      <c r="T9" s="212"/>
      <c r="U9" s="219"/>
      <c r="V9" s="219"/>
      <c r="W9" s="30"/>
      <c r="X9" s="59"/>
      <c r="Y9" s="150"/>
      <c r="Z9" s="67"/>
      <c r="AA9" s="70" t="str">
        <f ca="1">INDIRECT(ADDRESS(5-10*(COLUMN()&gt;5)+(COLUMN()-5)/2,8,4,,"PSE"),1)</f>
        <v>2,46 g/cm³</v>
      </c>
      <c r="AB9" s="133" t="str">
        <f ca="1">INDIRECT(ADDRESS(5-10*(COLUMN()&gt;5)+(COLUMN()-5)/2,2,4,,"PSE"),1)</f>
        <v>B</v>
      </c>
      <c r="AC9" s="122" t="str">
        <f ca="1">INDIRECT(ADDRESS(5-10*(COLUMN()&gt;5)+(COLUMN()-5)/2,8,4,,"PSE"),1)</f>
        <v>3,51 g/cm³</v>
      </c>
      <c r="AD9" s="129" t="str">
        <f ca="1">INDIRECT(ADDRESS(5-10*(COLUMN()&gt;5)+(COLUMN()-5)/2,2,4,,"PSE"),1)</f>
        <v>C</v>
      </c>
      <c r="AE9" s="122" t="str">
        <f ca="1">INDIRECT(ADDRESS(5-10*(COLUMN()&gt;5)+(COLUMN()-5)/2,8,4,,"PSE"),1)</f>
        <v>1,25 g/L</v>
      </c>
      <c r="AF9" s="115" t="str">
        <f ca="1">INDIRECT(ADDRESS(5-10*(COLUMN()&gt;5)+(COLUMN()-5)/2,2,4,,"PSE"),1)</f>
        <v>N</v>
      </c>
      <c r="AG9" s="122" t="str">
        <f ca="1">INDIRECT(ADDRESS(5-10*(COLUMN()&gt;5)+(COLUMN()-5)/2,8,4,,"PSE"),1)</f>
        <v>1,429 g/L</v>
      </c>
      <c r="AH9" s="115" t="str">
        <f ca="1">INDIRECT(ADDRESS(5-10*(COLUMN()&gt;5)+(COLUMN()-5)/2,2,4,,"PSE"),1)</f>
        <v>O</v>
      </c>
      <c r="AI9" s="122" t="str">
        <f ca="1">INDIRECT(ADDRESS(5-10*(COLUMN()&gt;5)+(COLUMN()-5)/2,8,4,,"PSE"),1)</f>
        <v>1,696 g/L</v>
      </c>
      <c r="AJ9" s="115" t="str">
        <f ca="1">INDIRECT(ADDRESS(5-10*(COLUMN()&gt;5)+(COLUMN()-5)/2,2,4,,"PSE"),1)</f>
        <v>F</v>
      </c>
      <c r="AK9" s="122" t="str">
        <f ca="1">INDIRECT(ADDRESS(5-10*(COLUMN()&gt;5)+(COLUMN()-5)/2,8,4,,"PSE"),1)</f>
        <v>0,9 g/L</v>
      </c>
      <c r="AL9" s="123" t="str">
        <f ca="1">INDIRECT(ADDRESS(5-10*(COLUMN()&gt;5)+(COLUMN()-5)/2,2,4,,"PSE"),1)</f>
        <v>Ne</v>
      </c>
      <c r="AM9" s="63"/>
    </row>
    <row r="10" spans="1:39" ht="15" customHeight="1">
      <c r="A10" s="39"/>
      <c r="B10" s="198" t="str">
        <f ca="1">INDIRECT(ADDRESS(4-10*(COLUMN()&gt;5)+(COLUMN()-2)/2,3,4,,"PSE"),1)</f>
        <v>Lithium</v>
      </c>
      <c r="C10" s="199"/>
      <c r="D10" s="198" t="str">
        <f ca="1">INDIRECT(ADDRESS(4-10*(COLUMN()&gt;5)+(COLUMN()-2)/2,3,4,,"PSE"),1)</f>
        <v>Beryllium</v>
      </c>
      <c r="E10" s="199"/>
      <c r="F10" s="93"/>
      <c r="G10" s="9"/>
      <c r="H10" s="14"/>
      <c r="I10" s="9"/>
      <c r="J10" s="53"/>
      <c r="K10" s="196" t="str">
        <f ca="1">B4</f>
        <v>Wasserstoff</v>
      </c>
      <c r="L10" s="197"/>
      <c r="M10" s="143" t="s">
        <v>1058</v>
      </c>
      <c r="P10" s="14"/>
      <c r="Q10" s="205" t="s">
        <v>1019</v>
      </c>
      <c r="R10" s="206"/>
      <c r="S10" s="213"/>
      <c r="T10" s="214"/>
      <c r="U10" s="190" t="s">
        <v>741</v>
      </c>
      <c r="V10" s="191"/>
      <c r="W10" s="9"/>
      <c r="X10" s="224"/>
      <c r="Y10" s="224"/>
      <c r="Z10" s="14"/>
      <c r="AA10" s="185" t="str">
        <f ca="1">INDIRECT(ADDRESS(5-10*(COLUMN()&gt;5)+(COLUMN()-5)/2,3,4,,"PSE"),1)</f>
        <v>Bor</v>
      </c>
      <c r="AB10" s="186"/>
      <c r="AC10" s="183" t="str">
        <f ca="1">INDIRECT(ADDRESS(5-10*(COLUMN()&gt;5)+(COLUMN()-5)/2,3,4,,"PSE"),1)</f>
        <v>Kohlenstoff</v>
      </c>
      <c r="AD10" s="184"/>
      <c r="AE10" s="183" t="str">
        <f ca="1">INDIRECT(ADDRESS(5-10*(COLUMN()&gt;5)+(COLUMN()-5)/2,3,4,,"PSE"),1)</f>
        <v>Stickstoff</v>
      </c>
      <c r="AF10" s="184"/>
      <c r="AG10" s="183" t="str">
        <f ca="1">INDIRECT(ADDRESS(5-10*(COLUMN()&gt;5)+(COLUMN()-5)/2,3,4,,"PSE"),1)</f>
        <v>Sauerstoff</v>
      </c>
      <c r="AH10" s="184"/>
      <c r="AI10" s="183" t="str">
        <f ca="1">INDIRECT(ADDRESS(5-10*(COLUMN()&gt;5)+(COLUMN()-5)/2,3,4,,"PSE"),1)</f>
        <v>Fluor</v>
      </c>
      <c r="AJ10" s="184"/>
      <c r="AK10" s="183" t="str">
        <f ca="1">INDIRECT(ADDRESS(5-10*(COLUMN()&gt;5)+(COLUMN()-5)/2,3,4,,"PSE"),1)</f>
        <v>Neon</v>
      </c>
      <c r="AL10" s="184"/>
    </row>
    <row r="11" spans="1:39" ht="14.25" customHeight="1">
      <c r="A11" s="39"/>
      <c r="B11" s="7">
        <f ca="1">INDIRECT(ADDRESS(4-10*(COLUMN()&gt;5)+(COLUMN()-2)/2,5,4,,"PSE"),1)</f>
        <v>1</v>
      </c>
      <c r="C11" s="21" t="str">
        <f ca="1">INDIRECT(ADDRESS(4-10*(COLUMN()&gt;5)+(COLUMN()-2)/2,6,4,,"PSE"),1)</f>
        <v>1330 °C</v>
      </c>
      <c r="D11" s="7">
        <f ca="1">INDIRECT(ADDRESS(4-10*(COLUMN()&gt;5)+(COLUMN()-2)/2,5,4,,"PSE"),1)</f>
        <v>1.5</v>
      </c>
      <c r="E11" s="21" t="str">
        <f ca="1">INDIRECT(ADDRESS(4-10*(COLUMN()&gt;5)+(COLUMN()-2)/2,6,4,,"PSE"),1)</f>
        <v>2480 °C</v>
      </c>
      <c r="F11" s="94"/>
      <c r="G11" s="10"/>
      <c r="H11" s="15"/>
      <c r="I11" s="10"/>
      <c r="J11" s="52" t="s">
        <v>697</v>
      </c>
      <c r="K11" s="116">
        <f ca="1">B5</f>
        <v>2.1</v>
      </c>
      <c r="L11" s="117" t="str">
        <f ca="1">C5</f>
        <v>-253 °C</v>
      </c>
      <c r="M11" s="143" t="s">
        <v>700</v>
      </c>
      <c r="P11" s="15"/>
      <c r="Q11" s="207"/>
      <c r="R11" s="208"/>
      <c r="S11" s="214"/>
      <c r="T11" s="214"/>
      <c r="U11" s="192"/>
      <c r="V11" s="193"/>
      <c r="W11" s="10"/>
      <c r="X11" s="60"/>
      <c r="Y11" s="151"/>
      <c r="Z11" s="15"/>
      <c r="AA11" s="35">
        <f ca="1">INDIRECT(ADDRESS(5-10*(COLUMN()&gt;5)+(COLUMN()-5)/2,5,4,,"PSE"),1)</f>
        <v>2</v>
      </c>
      <c r="AB11" s="36" t="str">
        <f ca="1">INDIRECT(ADDRESS(5-10*(COLUMN()&gt;5)+(COLUMN()-5)/2,6,4,,"PSE"),1)</f>
        <v>3900 °C</v>
      </c>
      <c r="AC11" s="124">
        <f t="shared" ref="AC11:AK11" ca="1" si="0">INDIRECT(ADDRESS(5-10*(COLUMN()&gt;5)+(COLUMN()-5)/2,5,4,,"PSE"),1)</f>
        <v>2.5</v>
      </c>
      <c r="AD11" s="125" t="str">
        <f ca="1">INDIRECT(ADDRESS(5-10*(COLUMN()&gt;5)+(COLUMN()-5)/2,6,4,,"PSE"),1)</f>
        <v>4830 °C</v>
      </c>
      <c r="AE11" s="124">
        <f t="shared" ca="1" si="0"/>
        <v>3</v>
      </c>
      <c r="AF11" s="125" t="str">
        <f ca="1">INDIRECT(ADDRESS(5-10*(COLUMN()&gt;5)+(COLUMN()-5)/2,6,4,,"PSE"),1)</f>
        <v>-196 °C</v>
      </c>
      <c r="AG11" s="124">
        <f t="shared" ca="1" si="0"/>
        <v>3.5</v>
      </c>
      <c r="AH11" s="125" t="str">
        <f ca="1">INDIRECT(ADDRESS(5-10*(COLUMN()&gt;5)+(COLUMN()-5)/2,6,4,,"PSE"),1)</f>
        <v>-183 °C</v>
      </c>
      <c r="AI11" s="124">
        <f t="shared" ca="1" si="0"/>
        <v>4</v>
      </c>
      <c r="AJ11" s="125" t="str">
        <f ca="1">INDIRECT(ADDRESS(5-10*(COLUMN()&gt;5)+(COLUMN()-5)/2,6,4,,"PSE"),1)</f>
        <v>-188 °C</v>
      </c>
      <c r="AK11" s="124">
        <f t="shared" ca="1" si="0"/>
        <v>0</v>
      </c>
      <c r="AL11" s="125" t="str">
        <f ca="1">INDIRECT(ADDRESS(5-10*(COLUMN()&gt;5)+(COLUMN()-5)/2,6,4,,"PSE"),1)</f>
        <v>-246 °C</v>
      </c>
    </row>
    <row r="12" spans="1:39" ht="11.25" customHeight="1">
      <c r="A12" s="39"/>
      <c r="B12" s="25">
        <f ca="1">INDIRECT(ADDRESS(4-10*(COLUMN()&gt;5)+(COLUMN()-2)/2,13,4,,"PSE"),1)</f>
        <v>152</v>
      </c>
      <c r="C12" s="22" t="str">
        <f ca="1">INDIRECT(ADDRESS(4-10*(COLUMN()&gt;5)+(COLUMN()-2)/2,7,4,,"PSE"),1)</f>
        <v>180 °C</v>
      </c>
      <c r="D12" s="25">
        <f ca="1">INDIRECT(ADDRESS(4-10*(COLUMN()&gt;5)+(COLUMN()-2)/2,13,4,,"PSE"),1)</f>
        <v>113.3</v>
      </c>
      <c r="E12" s="22" t="str">
        <f ca="1">INDIRECT(ADDRESS(4-10*(COLUMN()&gt;5)+(COLUMN()-2)/2,7,4,,"PSE"),1)</f>
        <v>1280 °C</v>
      </c>
      <c r="F12" s="98"/>
      <c r="G12" s="10"/>
      <c r="H12" s="15"/>
      <c r="I12" s="10"/>
      <c r="J12" s="52" t="s">
        <v>701</v>
      </c>
      <c r="K12" s="118">
        <f ca="1">B6</f>
        <v>37.299999999999997</v>
      </c>
      <c r="L12" s="119" t="str">
        <f ca="1">C6</f>
        <v>-259 °C</v>
      </c>
      <c r="M12" s="143" t="s">
        <v>699</v>
      </c>
      <c r="Q12" s="209"/>
      <c r="R12" s="210"/>
      <c r="S12" s="215"/>
      <c r="T12" s="215"/>
      <c r="U12" s="194"/>
      <c r="V12" s="195"/>
      <c r="W12" s="10"/>
      <c r="X12" s="61"/>
      <c r="Y12" s="152"/>
      <c r="Z12" s="15"/>
      <c r="AA12" s="134">
        <f ca="1">INDIRECT(ADDRESS(5-10*(COLUMN()&gt;5)+(COLUMN()-5)/2,13,4,,"PSE"),1)</f>
        <v>83</v>
      </c>
      <c r="AB12" s="37" t="str">
        <f ca="1">INDIRECT(ADDRESS(5-10*(COLUMN()&gt;5)+(COLUMN()-5)/2,7,4,,"PSE"),1)</f>
        <v>2030 °C</v>
      </c>
      <c r="AC12" s="126">
        <f t="shared" ref="AC12:AK12" ca="1" si="1">INDIRECT(ADDRESS(5-10*(COLUMN()&gt;5)+(COLUMN()-5)/2,13,4,,"PSE"),1)</f>
        <v>77.2</v>
      </c>
      <c r="AD12" s="127" t="str">
        <f t="shared" ref="AD12:AL12" ca="1" si="2">INDIRECT(ADDRESS(5-10*(COLUMN()&gt;5)+(COLUMN()-5)/2,7,4,,"PSE"),1)</f>
        <v>3730 °C</v>
      </c>
      <c r="AE12" s="126">
        <f t="shared" ca="1" si="1"/>
        <v>71</v>
      </c>
      <c r="AF12" s="127" t="str">
        <f t="shared" ca="1" si="2"/>
        <v>-210 °C</v>
      </c>
      <c r="AG12" s="126">
        <f t="shared" ca="1" si="1"/>
        <v>60.4</v>
      </c>
      <c r="AH12" s="127" t="str">
        <f t="shared" ca="1" si="2"/>
        <v>-219 °C</v>
      </c>
      <c r="AI12" s="126">
        <f t="shared" ca="1" si="1"/>
        <v>70.900000000000006</v>
      </c>
      <c r="AJ12" s="127" t="str">
        <f t="shared" ca="1" si="2"/>
        <v>-220 °C</v>
      </c>
      <c r="AK12" s="126">
        <f t="shared" ca="1" si="1"/>
        <v>160</v>
      </c>
      <c r="AL12" s="127" t="str">
        <f t="shared" ca="1" si="2"/>
        <v>-249 °C</v>
      </c>
    </row>
    <row r="13" spans="1:39" ht="18" customHeight="1">
      <c r="A13" s="39"/>
      <c r="B13" s="6">
        <f ca="1">INDIRECT(ADDRESS(12-10*(COLUMN()&gt;5)+(COLUMN()-2)/2,1,4,,"PSE"),1)</f>
        <v>11</v>
      </c>
      <c r="C13" s="74">
        <f ca="1">INDIRECT(ADDRESS(12-10*(COLUMN()&gt;5)+(COLUMN()-2)/2,4,4,,"PSE"),1)</f>
        <v>22.98977</v>
      </c>
      <c r="D13" s="6">
        <f ca="1">INDIRECT(ADDRESS(12-10*(COLUMN()&gt;5)+(COLUMN()-2)/2,1,4,,"PSE"),1)</f>
        <v>12</v>
      </c>
      <c r="E13" s="49">
        <f ca="1">INDIRECT(ADDRESS(12-10*(COLUMN()&gt;5)+(COLUMN()-2)/2,4,4,,"PSE"),1)</f>
        <v>24.305</v>
      </c>
      <c r="F13" s="99"/>
      <c r="J13" s="54" t="s">
        <v>765</v>
      </c>
      <c r="K13" s="189" t="s">
        <v>1005</v>
      </c>
      <c r="L13" s="189"/>
      <c r="S13" s="142" t="s">
        <v>1252</v>
      </c>
      <c r="T13" s="141" t="s">
        <v>1251</v>
      </c>
      <c r="U13" s="140"/>
      <c r="V13" s="140"/>
      <c r="W13" s="140"/>
      <c r="X13" s="140"/>
      <c r="Y13" s="153"/>
      <c r="Z13" s="12"/>
      <c r="AA13" s="16">
        <f ca="1">INDIRECT(ADDRESS(13-10*(COLUMN()&gt;5)+(COLUMN()-5)/2,1,4,,"PSE"),1)</f>
        <v>13</v>
      </c>
      <c r="AB13" s="75">
        <f ca="1">INDIRECT(ADDRESS(13-10*(COLUMN()&gt;5)+(COLUMN()-5)/2,4,4,,"PSE"),1)</f>
        <v>26.981538</v>
      </c>
      <c r="AC13" s="33">
        <f ca="1">INDIRECT(ADDRESS(13-10*(COLUMN()&gt;5)+(COLUMN()-5)/2,1,4,,"PSE"),1)</f>
        <v>14</v>
      </c>
      <c r="AD13" s="34">
        <f ca="1">INDIRECT(ADDRESS(13-10*(COLUMN()&gt;5)+(COLUMN()-5)/2,4,4,,"PSE"),1)</f>
        <v>28.0855</v>
      </c>
      <c r="AE13" s="120">
        <f ca="1">INDIRECT(ADDRESS(13-10*(COLUMN()&gt;5)+(COLUMN()-5)/2,1,4,,"PSE"),1)</f>
        <v>15</v>
      </c>
      <c r="AF13" s="128">
        <f ca="1">INDIRECT(ADDRESS(13-10*(COLUMN()&gt;5)+(COLUMN()-5)/2,4,4,,"PSE"),1)</f>
        <v>30.973761</v>
      </c>
      <c r="AG13" s="120">
        <f ca="1">INDIRECT(ADDRESS(13-10*(COLUMN()&gt;5)+(COLUMN()-5)/2,1,4,,"PSE"),1)</f>
        <v>16</v>
      </c>
      <c r="AH13" s="130">
        <f ca="1">INDIRECT(ADDRESS(13-10*(COLUMN()&gt;5)+(COLUMN()-5)/2,4,4,,"PSE"),1)</f>
        <v>32.064999999999998</v>
      </c>
      <c r="AI13" s="120">
        <f ca="1">INDIRECT(ADDRESS(13-10*(COLUMN()&gt;5)+(COLUMN()-5)/2,1,4,,"PSE"),1)</f>
        <v>17</v>
      </c>
      <c r="AJ13" s="130">
        <f ca="1">INDIRECT(ADDRESS(13-10*(COLUMN()&gt;5)+(COLUMN()-5)/2,4,4,,"PSE"),1)</f>
        <v>35.453000000000003</v>
      </c>
      <c r="AK13" s="120">
        <f ca="1">INDIRECT(ADDRESS(13-10*(COLUMN()&gt;5)+(COLUMN()-5)/2,1,4,,"PSE"),1)</f>
        <v>18</v>
      </c>
      <c r="AL13" s="130">
        <f ca="1">INDIRECT(ADDRESS(13-10*(COLUMN()&gt;5)+(COLUMN()-5)/2,4,4,,"PSE"),1)</f>
        <v>39.948</v>
      </c>
    </row>
    <row r="14" spans="1:39" ht="30" customHeight="1">
      <c r="A14" s="68" t="s">
        <v>704</v>
      </c>
      <c r="B14" s="64" t="str">
        <f ca="1">INDIRECT(ADDRESS(12-10*(COLUMN()&gt;5)+(COLUMN()-2)/2,8,4,,"PSE"),1)</f>
        <v>0,971 g/cm³</v>
      </c>
      <c r="C14" s="65" t="str">
        <f ca="1">INDIRECT(ADDRESS(12-10*(COLUMN()&gt;5)+(COLUMN()-2)/2,2,4,,"PSE"),1)</f>
        <v>Na</v>
      </c>
      <c r="D14" s="64" t="str">
        <f ca="1">INDIRECT(ADDRESS(12-10*(COLUMN()&gt;5)+(COLUMN()-2)/2,8,4,,"PSE"),1)</f>
        <v>1,75 g/cm³</v>
      </c>
      <c r="E14" s="65" t="str">
        <f ca="1">INDIRECT(ADDRESS(12-10*(COLUMN()&gt;5)+(COLUMN()-2)/2,2,4,,"PSE"),1)</f>
        <v>Mg</v>
      </c>
      <c r="F14" s="92"/>
      <c r="K14" s="154" t="s">
        <v>1004</v>
      </c>
      <c r="O14" s="144"/>
      <c r="R14" s="155"/>
      <c r="S14" s="140"/>
      <c r="T14" s="182" t="s">
        <v>1266</v>
      </c>
      <c r="U14" s="140"/>
      <c r="V14" s="140"/>
      <c r="W14" s="140"/>
      <c r="X14" s="140"/>
      <c r="Y14" s="153"/>
      <c r="Z14" s="13"/>
      <c r="AA14" s="64" t="str">
        <f ca="1">INDIRECT(ADDRESS(13-10*(COLUMN()&gt;5)+(COLUMN()-5)/2,8,4,,"PSE"),1)</f>
        <v>2,70 g/cm³</v>
      </c>
      <c r="AB14" s="65" t="str">
        <f ca="1">INDIRECT(ADDRESS(13-10*(COLUMN()&gt;5)+(COLUMN()-5)/2,2,4,,"PSE"),1)</f>
        <v>Al</v>
      </c>
      <c r="AC14" s="70" t="str">
        <f ca="1">INDIRECT(ADDRESS(13-10*(COLUMN()&gt;5)+(COLUMN()-5)/2,8,4,,"PSE"),1)</f>
        <v>2,33 g/cm³</v>
      </c>
      <c r="AD14" s="133" t="str">
        <f ca="1">INDIRECT(ADDRESS(13-10*(COLUMN()&gt;5)+(COLUMN()-5)/2,2,4,,"PSE"),1)</f>
        <v>Si</v>
      </c>
      <c r="AE14" s="122" t="str">
        <f ca="1">INDIRECT(ADDRESS(13-10*(COLUMN()&gt;5)+(COLUMN()-5)/2,8,4,,"PSE"),1)</f>
        <v>1,82 g/cm³</v>
      </c>
      <c r="AF14" s="129" t="str">
        <f ca="1">INDIRECT(ADDRESS(13-10*(COLUMN()&gt;5)+(COLUMN()-5)/2,2,4,,"PSE"),1)</f>
        <v>P</v>
      </c>
      <c r="AG14" s="122" t="str">
        <f ca="1">INDIRECT(ADDRESS(13-10*(COLUMN()&gt;5)+(COLUMN()-5)/2,8,4,,"PSE"),1)</f>
        <v>2,06 g/cm³</v>
      </c>
      <c r="AH14" s="129" t="str">
        <f ca="1">INDIRECT(ADDRESS(13-10*(COLUMN()&gt;5)+(COLUMN()-5)/2,2,4,,"PSE"),1)</f>
        <v>S</v>
      </c>
      <c r="AI14" s="122" t="str">
        <f ca="1">INDIRECT(ADDRESS(13-10*(COLUMN()&gt;5)+(COLUMN()-5)/2,8,4,,"PSE"),1)</f>
        <v>3,214 g/L</v>
      </c>
      <c r="AJ14" s="115" t="str">
        <f ca="1">INDIRECT(ADDRESS(13-10*(COLUMN()&gt;5)+(COLUMN()-5)/2,2,4,,"PSE"),1)</f>
        <v>Cl</v>
      </c>
      <c r="AK14" s="122" t="str">
        <f ca="1">INDIRECT(ADDRESS(13-10*(COLUMN()&gt;5)+(COLUMN()-5)/2,8,4,,"PSE"),1)</f>
        <v>1,784 g/L</v>
      </c>
      <c r="AL14" s="123" t="str">
        <f ca="1">INDIRECT(ADDRESS(13-10*(COLUMN()&gt;5)+(COLUMN()-5)/2,2,4,,"PSE"),1)</f>
        <v>Ar</v>
      </c>
      <c r="AM14" s="63"/>
    </row>
    <row r="15" spans="1:39" ht="15" customHeight="1">
      <c r="A15" s="39"/>
      <c r="B15" s="198" t="str">
        <f ca="1">INDIRECT(ADDRESS(12-10*(COLUMN()&gt;5)+(COLUMN()-2)/2,3,4,,"PSE"),1)</f>
        <v>Natrium</v>
      </c>
      <c r="C15" s="199"/>
      <c r="D15" s="198" t="str">
        <f ca="1">INDIRECT(ADDRESS(12-10*(COLUMN()&gt;5)+(COLUMN()-2)/2,3,4,,"PSE"),1)</f>
        <v>Magnesium</v>
      </c>
      <c r="E15" s="199"/>
      <c r="F15" s="93"/>
      <c r="AA15" s="198" t="str">
        <f ca="1">INDIRECT(ADDRESS(13-10*(COLUMN()&gt;5)+(COLUMN()-5)/2,3,4,,"PSE"),1)</f>
        <v>Aluminium</v>
      </c>
      <c r="AB15" s="199"/>
      <c r="AC15" s="185" t="str">
        <f ca="1">INDIRECT(ADDRESS(13-10*(COLUMN()&gt;5)+(COLUMN()-5)/2,3,4,,"PSE"),1)</f>
        <v>Silicium</v>
      </c>
      <c r="AD15" s="186"/>
      <c r="AE15" s="183" t="str">
        <f ca="1">INDIRECT(ADDRESS(13-10*(COLUMN()&gt;5)+(COLUMN()-5)/2,3,4,,"PSE"),1)</f>
        <v>Phosphor</v>
      </c>
      <c r="AF15" s="184"/>
      <c r="AG15" s="183" t="str">
        <f ca="1">INDIRECT(ADDRESS(13-10*(COLUMN()&gt;5)+(COLUMN()-5)/2,3,4,,"PSE"),1)</f>
        <v>Schwefel</v>
      </c>
      <c r="AH15" s="184"/>
      <c r="AI15" s="183" t="str">
        <f ca="1">INDIRECT(ADDRESS(13-10*(COLUMN()&gt;5)+(COLUMN()-5)/2,3,4,,"PSE"),1)</f>
        <v>Chlor</v>
      </c>
      <c r="AJ15" s="184"/>
      <c r="AK15" s="183" t="str">
        <f ca="1">INDIRECT(ADDRESS(13-10*(COLUMN()&gt;5)+(COLUMN()-5)/2,3,4,,"PSE"),1)</f>
        <v>Argon</v>
      </c>
      <c r="AL15" s="184"/>
    </row>
    <row r="16" spans="1:39" ht="16.2">
      <c r="A16" s="39"/>
      <c r="B16" s="20">
        <f ca="1">INDIRECT(ADDRESS(12-10*(COLUMN()&gt;5)+(COLUMN()-2)/2,5,4,,"PSE"),1)</f>
        <v>0.9</v>
      </c>
      <c r="C16" s="21" t="str">
        <f ca="1">INDIRECT(ADDRESS(12-10*(COLUMN()&gt;5)+(COLUMN()-2)/2,6,4,,"PSE"),1)</f>
        <v>892 °C</v>
      </c>
      <c r="D16" s="7">
        <f ca="1">INDIRECT(ADDRESS(12-10*(COLUMN()&gt;5)+(COLUMN()-2)/2,5,4,,"PSE"),1)</f>
        <v>1.2</v>
      </c>
      <c r="E16" s="21" t="str">
        <f ca="1">INDIRECT(ADDRESS(12-10*(COLUMN()&gt;5)+(COLUMN()-2)/2,6,4,,"PSE"),1)</f>
        <v>1110 °C</v>
      </c>
      <c r="F16" s="94"/>
      <c r="G16" s="188" t="s">
        <v>443</v>
      </c>
      <c r="H16" s="188"/>
      <c r="I16" s="188" t="s">
        <v>444</v>
      </c>
      <c r="J16" s="188"/>
      <c r="K16" s="188" t="s">
        <v>445</v>
      </c>
      <c r="L16" s="188"/>
      <c r="M16" s="188" t="s">
        <v>446</v>
      </c>
      <c r="N16" s="188"/>
      <c r="O16" s="188" t="s">
        <v>447</v>
      </c>
      <c r="P16" s="188"/>
      <c r="Q16" s="188"/>
      <c r="R16" s="188"/>
      <c r="S16" s="188" t="s">
        <v>448</v>
      </c>
      <c r="T16" s="188"/>
      <c r="U16" s="188"/>
      <c r="V16" s="188"/>
      <c r="W16" s="188" t="s">
        <v>449</v>
      </c>
      <c r="X16" s="188"/>
      <c r="Y16" s="188" t="s">
        <v>450</v>
      </c>
      <c r="Z16" s="188"/>
      <c r="AA16" s="20">
        <f ca="1">INDIRECT(ADDRESS(13-10*(COLUMN()&gt;5)+(COLUMN()-5)/2,5,4,,"PSE"),1)</f>
        <v>1.5</v>
      </c>
      <c r="AB16" s="21" t="str">
        <f ca="1">INDIRECT(ADDRESS(13-10*(COLUMN()&gt;5)+(COLUMN()-5)/2,6,4,,"PSE"),1)</f>
        <v>2450 °C</v>
      </c>
      <c r="AC16" s="35">
        <f ca="1">INDIRECT(ADDRESS(13-10*(COLUMN()&gt;5)+(COLUMN()-5)/2,5,4,,"PSE"),1)</f>
        <v>1.8</v>
      </c>
      <c r="AD16" s="36" t="str">
        <f ca="1">INDIRECT(ADDRESS(13-10*(COLUMN()&gt;5)+(COLUMN()-5)/2,6,4,,"PSE"),1)</f>
        <v>2680 °C</v>
      </c>
      <c r="AE16" s="124">
        <f ca="1">INDIRECT(ADDRESS(13-10*(COLUMN()&gt;5)+(COLUMN()-5)/2,5,4,,"PSE"),1)</f>
        <v>2.1</v>
      </c>
      <c r="AF16" s="125" t="str">
        <f ca="1">INDIRECT(ADDRESS(13-10*(COLUMN()&gt;5)+(COLUMN()-5)/2,6,4,,"PSE"),1)</f>
        <v>280 °C</v>
      </c>
      <c r="AG16" s="124">
        <f ca="1">INDIRECT(ADDRESS(13-10*(COLUMN()&gt;5)+(COLUMN()-5)/2,5,4,,"PSE"),1)</f>
        <v>2.5</v>
      </c>
      <c r="AH16" s="125" t="str">
        <f ca="1">INDIRECT(ADDRESS(13-10*(COLUMN()&gt;5)+(COLUMN()-5)/2,6,4,,"PSE"),1)</f>
        <v>445 °C</v>
      </c>
      <c r="AI16" s="124">
        <f ca="1">INDIRECT(ADDRESS(13-10*(COLUMN()&gt;5)+(COLUMN()-5)/2,5,4,,"PSE"),1)</f>
        <v>3</v>
      </c>
      <c r="AJ16" s="125" t="str">
        <f ca="1">INDIRECT(ADDRESS(13-10*(COLUMN()&gt;5)+(COLUMN()-5)/2,6,4,,"PSE"),1)</f>
        <v>-35 °C</v>
      </c>
      <c r="AK16" s="124">
        <f ca="1">INDIRECT(ADDRESS(13-10*(COLUMN()&gt;5)+(COLUMN()-5)/2,5,4,,"PSE"),1)</f>
        <v>0</v>
      </c>
      <c r="AL16" s="125" t="str">
        <f ca="1">INDIRECT(ADDRESS(13-10*(COLUMN()&gt;5)+(COLUMN()-5)/2,6,4,,"PSE"),1)</f>
        <v>-186 °C</v>
      </c>
    </row>
    <row r="17" spans="1:38" ht="11.4" customHeight="1">
      <c r="A17" s="39"/>
      <c r="B17" s="25">
        <f ca="1">INDIRECT(ADDRESS(12-10*(COLUMN()&gt;5)+(COLUMN()-2)/2,13,4,,"PSE"),1)</f>
        <v>153.69999999999999</v>
      </c>
      <c r="C17" s="22" t="str">
        <f ca="1">INDIRECT(ADDRESS(12-10*(COLUMN()&gt;5)+(COLUMN()-2)/2,7,4,,"PSE"),1)</f>
        <v>98 °C</v>
      </c>
      <c r="D17" s="25">
        <f ca="1">INDIRECT(ADDRESS(12-10*(COLUMN()&gt;5)+(COLUMN()-2)/2,13,4,,"PSE"),1)</f>
        <v>160</v>
      </c>
      <c r="E17" s="22" t="str">
        <f ca="1">INDIRECT(ADDRESS(12-10*(COLUMN()&gt;5)+(COLUMN()-2)/2,7,4,,"PSE"),1)</f>
        <v>650 °C</v>
      </c>
      <c r="F17" s="98"/>
      <c r="N17" s="230" t="s">
        <v>709</v>
      </c>
      <c r="O17" s="230"/>
      <c r="P17" s="230"/>
      <c r="AA17" s="25">
        <f ca="1">INDIRECT(ADDRESS(13-10*(COLUMN()&gt;5)+(COLUMN()-5)/2,13,4,,"PSE"),1)</f>
        <v>143.1</v>
      </c>
      <c r="AB17" s="22" t="str">
        <f ca="1">INDIRECT(ADDRESS(13-10*(COLUMN()&gt;5)+(COLUMN()-5)/2,7,4,,"PSE"),1)</f>
        <v>660 °C</v>
      </c>
      <c r="AC17" s="134">
        <f ca="1">INDIRECT(ADDRESS(13-10*(COLUMN()&gt;5)+(COLUMN()-5)/2,13,4,,"PSE"),1)</f>
        <v>117</v>
      </c>
      <c r="AD17" s="37" t="str">
        <f ca="1">INDIRECT(ADDRESS(13-10*(COLUMN()&gt;5)+(COLUMN()-5)/2,7,4,,"PSE"),1)</f>
        <v>1410 °C</v>
      </c>
      <c r="AE17" s="126">
        <f ca="1">INDIRECT(ADDRESS(13-10*(COLUMN()&gt;5)+(COLUMN()-5)/2,13,4,,"PSE"),1)</f>
        <v>93</v>
      </c>
      <c r="AF17" s="127" t="str">
        <f ca="1">INDIRECT(ADDRESS(13-10*(COLUMN()&gt;5)+(COLUMN()-5)/2,7,4,,"PSE"),1)</f>
        <v>44 °C</v>
      </c>
      <c r="AG17" s="126">
        <f ca="1">INDIRECT(ADDRESS(13-10*(COLUMN()&gt;5)+(COLUMN()-5)/2,13,4,,"PSE"),1)</f>
        <v>104</v>
      </c>
      <c r="AH17" s="127" t="str">
        <f ca="1">INDIRECT(ADDRESS(13-10*(COLUMN()&gt;5)+(COLUMN()-5)/2,7,4,,"PSE"),1)</f>
        <v>113 °C</v>
      </c>
      <c r="AI17" s="126">
        <f ca="1">INDIRECT(ADDRESS(13-10*(COLUMN()&gt;5)+(COLUMN()-5)/2,13,4,,"PSE"),1)</f>
        <v>99.4</v>
      </c>
      <c r="AJ17" s="127" t="str">
        <f ca="1">INDIRECT(ADDRESS(13-10*(COLUMN()&gt;5)+(COLUMN()-5)/2,7,4,,"PSE"),1)</f>
        <v>-101 °C</v>
      </c>
      <c r="AK17" s="126">
        <f ca="1">INDIRECT(ADDRESS(13-10*(COLUMN()&gt;5)+(COLUMN()-5)/2,13,4,,"PSE"),1)</f>
        <v>174</v>
      </c>
      <c r="AL17" s="127" t="str">
        <f ca="1">INDIRECT(ADDRESS(13-10*(COLUMN()&gt;5)+(COLUMN()-5)/2,7,4,,"PSE"),1)</f>
        <v>-189 °C</v>
      </c>
    </row>
    <row r="18" spans="1:38" ht="18" customHeight="1">
      <c r="A18" s="39"/>
      <c r="B18" s="16">
        <f ca="1">INDIRECT(ADDRESS(20+(COLUMN()-2)/2,1,4,,"PSE"),1)</f>
        <v>19</v>
      </c>
      <c r="C18" s="75">
        <f ca="1">INDIRECT(ADDRESS(20+(COLUMN()-2)/2,4,4,,"PSE"),1)</f>
        <v>39.098300000000002</v>
      </c>
      <c r="D18" s="6">
        <f ca="1">INDIRECT(ADDRESS(20+(COLUMN()-2)/2,1,4,,"PSE"),1)</f>
        <v>20</v>
      </c>
      <c r="E18" s="49">
        <f ca="1">INDIRECT(ADDRESS(20+(COLUMN()-2)/2,4,4,,"PSE"),1)</f>
        <v>40.078000000000003</v>
      </c>
      <c r="F18" s="99"/>
      <c r="G18" s="6">
        <f ca="1">INDIRECT(ADDRESS(21+(COLUMN()-5)/2,1,4,,"PSE"),1)</f>
        <v>21</v>
      </c>
      <c r="H18" s="75">
        <f ca="1">INDIRECT(ADDRESS(19+(COLUMN()-2)/2,4,4,,"PSE"),1)</f>
        <v>44.955910000000003</v>
      </c>
      <c r="I18" s="6">
        <f ca="1">INDIRECT(ADDRESS(21+(COLUMN()-5)/2,1,4,,"PSE"),1)</f>
        <v>22</v>
      </c>
      <c r="J18" s="49">
        <f ca="1">INDIRECT(ADDRESS(19+(COLUMN()-2)/2,4,4,,"PSE"),1)</f>
        <v>47.866999999999997</v>
      </c>
      <c r="K18" s="6">
        <f ca="1">INDIRECT(ADDRESS(21+(COLUMN()-5)/2,1,4,,"PSE"),1)</f>
        <v>23</v>
      </c>
      <c r="L18" s="75">
        <f ca="1">INDIRECT(ADDRESS(19+(COLUMN()-2)/2,4,4,,"PSE"),1)</f>
        <v>50.941499999999998</v>
      </c>
      <c r="M18" s="6">
        <f ca="1">INDIRECT(ADDRESS(21+(COLUMN()-5)/2,1,4,,"PSE"),1)</f>
        <v>24</v>
      </c>
      <c r="N18" s="75">
        <f ca="1">INDIRECT(ADDRESS(19+(COLUMN()-2)/2,4,4,,"PSE"),1)</f>
        <v>51.996099999999998</v>
      </c>
      <c r="O18" s="6">
        <f ca="1">INDIRECT(ADDRESS(21+(COLUMN()-5)/2,1,4,,"PSE"),1)</f>
        <v>25</v>
      </c>
      <c r="P18" s="75">
        <f ca="1">INDIRECT(ADDRESS(19+(COLUMN()-2)/2,4,4,,"PSE"),1)</f>
        <v>54.938048999999999</v>
      </c>
      <c r="Q18" s="6">
        <f ca="1">INDIRECT(ADDRESS(21+(COLUMN()-5)/2,1,4,,"PSE"),1)</f>
        <v>26</v>
      </c>
      <c r="R18" s="49">
        <f ca="1">INDIRECT(ADDRESS(19+(COLUMN()-2)/2,4,4,,"PSE"),1)</f>
        <v>55.844999999999999</v>
      </c>
      <c r="S18" s="6">
        <f ca="1">INDIRECT(ADDRESS(21+(COLUMN()-5)/2,1,4,,"PSE"),1)</f>
        <v>27</v>
      </c>
      <c r="T18" s="75">
        <f ca="1">INDIRECT(ADDRESS(19+(COLUMN()-2)/2,4,4,,"PSE"),1)</f>
        <v>58.933199999999999</v>
      </c>
      <c r="U18" s="6">
        <f ca="1">INDIRECT(ADDRESS(21+(COLUMN()-5)/2,1,4,,"PSE"),1)</f>
        <v>28</v>
      </c>
      <c r="V18" s="75">
        <f ca="1">INDIRECT(ADDRESS(19+(COLUMN()-2)/2,4,4,,"PSE"),1)</f>
        <v>58.693399999999997</v>
      </c>
      <c r="W18" s="6">
        <f ca="1">INDIRECT(ADDRESS(21+(COLUMN()-5)/2,1,4,,"PSE"),1)</f>
        <v>29</v>
      </c>
      <c r="X18" s="49">
        <f ca="1">INDIRECT(ADDRESS(19+(COLUMN()-2)/2,4,4,,"PSE"),1)</f>
        <v>63.545999999999999</v>
      </c>
      <c r="Y18" s="6">
        <f ca="1">INDIRECT(ADDRESS(21+(COLUMN()-5)/2,1,4,,"PSE"),1)</f>
        <v>30</v>
      </c>
      <c r="Z18" s="49">
        <f ca="1">INDIRECT(ADDRESS(19+(COLUMN()-2)/2,4,4,,"PSE"),1)</f>
        <v>65.409000000000006</v>
      </c>
      <c r="AA18" s="6">
        <f t="shared" ref="AA18:AK18" ca="1" si="3">INDIRECT(ADDRESS(21+(COLUMN()-5)/2,1,4,,"PSE"),1)</f>
        <v>31</v>
      </c>
      <c r="AB18" s="49">
        <f t="shared" ref="AB18:AL18" ca="1" si="4">INDIRECT(ADDRESS(19+(COLUMN()-2)/2,4,4,,"PSE"),1)</f>
        <v>69.722999999999999</v>
      </c>
      <c r="AC18" s="33">
        <f t="shared" ca="1" si="3"/>
        <v>32</v>
      </c>
      <c r="AD18" s="34">
        <f t="shared" ca="1" si="4"/>
        <v>72.64</v>
      </c>
      <c r="AE18" s="33">
        <f t="shared" ca="1" si="3"/>
        <v>33</v>
      </c>
      <c r="AF18" s="76">
        <f t="shared" ca="1" si="4"/>
        <v>74.921599999999998</v>
      </c>
      <c r="AG18" s="33">
        <f t="shared" ca="1" si="3"/>
        <v>34</v>
      </c>
      <c r="AH18" s="135">
        <f t="shared" ca="1" si="4"/>
        <v>78.959999999999994</v>
      </c>
      <c r="AI18" s="120">
        <f t="shared" ca="1" si="3"/>
        <v>35</v>
      </c>
      <c r="AJ18" s="130">
        <f t="shared" ca="1" si="4"/>
        <v>79.903999999999996</v>
      </c>
      <c r="AK18" s="120">
        <f t="shared" ca="1" si="3"/>
        <v>36</v>
      </c>
      <c r="AL18" s="130">
        <f t="shared" ca="1" si="4"/>
        <v>83.798000000000002</v>
      </c>
    </row>
    <row r="19" spans="1:38" s="63" customFormat="1" ht="30" customHeight="1">
      <c r="A19" s="68" t="s">
        <v>705</v>
      </c>
      <c r="B19" s="64" t="str">
        <f ca="1">INDIRECT(ADDRESS(20+(COLUMN()-2)/2,8,4,,"PSE"),1)</f>
        <v>0,862 g/cm³</v>
      </c>
      <c r="C19" s="65" t="str">
        <f ca="1">INDIRECT(ADDRESS(20+(COLUMN()-2)/2,2,4,,"PSE"),1)</f>
        <v>K</v>
      </c>
      <c r="D19" s="64" t="str">
        <f ca="1">INDIRECT(ADDRESS(20+(COLUMN()-2)/2,8,4,,"PSE"),1)</f>
        <v>1,55 g/cm³</v>
      </c>
      <c r="E19" s="65" t="str">
        <f ca="1">INDIRECT(ADDRESS(20+(COLUMN()-2)/2,2,4,,"PSE"),1)</f>
        <v>Ca</v>
      </c>
      <c r="F19" s="97"/>
      <c r="G19" s="64" t="str">
        <f ca="1">INDIRECT(ADDRESS(21+(COLUMN()-5)/2,8,4,,"PSE"),1)</f>
        <v>2,99 g/cm³</v>
      </c>
      <c r="H19" s="65" t="str">
        <f ca="1">INDIRECT(ADDRESS(21+(COLUMN()-5)/2,2,4,,"PSE"),1)</f>
        <v>Sc</v>
      </c>
      <c r="I19" s="64" t="str">
        <f ca="1">INDIRECT(ADDRESS(21+(COLUMN()-5)/2,8,4,,"PSE"),1)</f>
        <v>4,51 g/cm³</v>
      </c>
      <c r="J19" s="65" t="str">
        <f ca="1">INDIRECT(ADDRESS(21+(COLUMN()-5)/2,2,4,,"PSE"),1)</f>
        <v>Ti</v>
      </c>
      <c r="K19" s="64" t="str">
        <f ca="1">INDIRECT(ADDRESS(21+(COLUMN()-5)/2,8,4,,"PSE"),1)</f>
        <v>6,09 g/cm³</v>
      </c>
      <c r="L19" s="65" t="str">
        <f ca="1">INDIRECT(ADDRESS(21+(COLUMN()-5)/2,2,4,,"PSE"),1)</f>
        <v>V</v>
      </c>
      <c r="M19" s="64" t="str">
        <f ca="1">INDIRECT(ADDRESS(21+(COLUMN()-5)/2,8,4,,"PSE"),1)</f>
        <v>7,14 g/cm³</v>
      </c>
      <c r="N19" s="65" t="str">
        <f ca="1">INDIRECT(ADDRESS(21+(COLUMN()-5)/2,2,4,,"PSE"),1)</f>
        <v>Cr</v>
      </c>
      <c r="O19" s="64" t="str">
        <f ca="1">INDIRECT(ADDRESS(21+(COLUMN()-5)/2,8,4,,"PSE"),1)</f>
        <v>7,44 g/cm³</v>
      </c>
      <c r="P19" s="65" t="str">
        <f ca="1">INDIRECT(ADDRESS(21+(COLUMN()-5)/2,2,4,,"PSE"),1)</f>
        <v>Mn</v>
      </c>
      <c r="Q19" s="64" t="str">
        <f ca="1">INDIRECT(ADDRESS(21+(COLUMN()-5)/2,8,4,,"PSE"),1)</f>
        <v>7,87 g/cm³</v>
      </c>
      <c r="R19" s="65" t="str">
        <f ca="1">INDIRECT(ADDRESS(21+(COLUMN()-5)/2,2,4,,"PSE"),1)</f>
        <v>Fe</v>
      </c>
      <c r="S19" s="64" t="str">
        <f ca="1">INDIRECT(ADDRESS(21+(COLUMN()-5)/2,8,4,,"PSE"),1)</f>
        <v>8,89 g/cm³</v>
      </c>
      <c r="T19" s="65" t="str">
        <f ca="1">INDIRECT(ADDRESS(21+(COLUMN()-5)/2,2,4,,"PSE"),1)</f>
        <v>Co</v>
      </c>
      <c r="U19" s="64" t="str">
        <f ca="1">INDIRECT(ADDRESS(21+(COLUMN()-5)/2,8,4,,"PSE"),1)</f>
        <v>8,91 g/cm³</v>
      </c>
      <c r="V19" s="65" t="str">
        <f ca="1">INDIRECT(ADDRESS(21+(COLUMN()-5)/2,2,4,,"PSE"),1)</f>
        <v>Ni</v>
      </c>
      <c r="W19" s="64" t="str">
        <f ca="1">INDIRECT(ADDRESS(21+(COLUMN()-5)/2,8,4,,"PSE"),1)</f>
        <v>8,92 g/cm³</v>
      </c>
      <c r="X19" s="65" t="str">
        <f ca="1">INDIRECT(ADDRESS(21+(COLUMN()-5)/2,2,4,,"PSE"),1)</f>
        <v>Cu</v>
      </c>
      <c r="Y19" s="64" t="str">
        <f ca="1">INDIRECT(ADDRESS(21+(COLUMN()-5)/2,8,4,,"PSE"),1)</f>
        <v>7,14 g/cm³</v>
      </c>
      <c r="Z19" s="65" t="str">
        <f ca="1">INDIRECT(ADDRESS(21+(COLUMN()-5)/2,2,4,,"PSE"),1)</f>
        <v>Zn</v>
      </c>
      <c r="AA19" s="64" t="str">
        <f t="shared" ref="AA19:AK19" ca="1" si="5">INDIRECT(ADDRESS(21+(COLUMN()-5)/2,8,4,,"PSE"),1)</f>
        <v>5,91 g/cm³</v>
      </c>
      <c r="AB19" s="65" t="str">
        <f t="shared" ref="AB19:AL19" ca="1" si="6">INDIRECT(ADDRESS(21+(COLUMN()-5)/2,2,4,,"PSE"),1)</f>
        <v>Ga</v>
      </c>
      <c r="AC19" s="70" t="str">
        <f t="shared" ca="1" si="5"/>
        <v>5,32 g/cm³</v>
      </c>
      <c r="AD19" s="133" t="str">
        <f t="shared" ca="1" si="6"/>
        <v>Ge</v>
      </c>
      <c r="AE19" s="70" t="str">
        <f t="shared" ca="1" si="5"/>
        <v>5,72 g/cm³</v>
      </c>
      <c r="AF19" s="133" t="str">
        <f t="shared" ca="1" si="6"/>
        <v>As</v>
      </c>
      <c r="AG19" s="70" t="str">
        <f t="shared" ca="1" si="5"/>
        <v>4,82 g/cm³</v>
      </c>
      <c r="AH19" s="133" t="str">
        <f t="shared" ca="1" si="6"/>
        <v>Se</v>
      </c>
      <c r="AI19" s="122" t="str">
        <f t="shared" ca="1" si="5"/>
        <v>3,14 g/cm³</v>
      </c>
      <c r="AJ19" s="131" t="str">
        <f t="shared" ca="1" si="6"/>
        <v>Br</v>
      </c>
      <c r="AK19" s="122" t="str">
        <f t="shared" ca="1" si="5"/>
        <v>3,74 g/L</v>
      </c>
      <c r="AL19" s="123" t="str">
        <f t="shared" ca="1" si="6"/>
        <v>Kr</v>
      </c>
    </row>
    <row r="20" spans="1:38" ht="15" customHeight="1">
      <c r="A20" s="39"/>
      <c r="B20" s="198" t="str">
        <f ca="1">INDIRECT(ADDRESS(20+(COLUMN()-2)/2,3,4,,"PSE"),1)</f>
        <v>Kalium</v>
      </c>
      <c r="C20" s="199"/>
      <c r="D20" s="198" t="str">
        <f ca="1">INDIRECT(ADDRESS(20+(COLUMN()-2)/2,3,4,,"PSE"),1)</f>
        <v>Calcium</v>
      </c>
      <c r="E20" s="199"/>
      <c r="F20" s="93"/>
      <c r="G20" s="198" t="str">
        <f ca="1">INDIRECT(ADDRESS(21+(COLUMN()-5)/2,3,4,,"PSE"),1)</f>
        <v>Scandium</v>
      </c>
      <c r="H20" s="199"/>
      <c r="I20" s="198" t="str">
        <f ca="1">INDIRECT(ADDRESS(21+(COLUMN()-5)/2,3,4,,"PSE"),1)</f>
        <v>Titan</v>
      </c>
      <c r="J20" s="199"/>
      <c r="K20" s="198" t="str">
        <f ca="1">INDIRECT(ADDRESS(21+(COLUMN()-5)/2,3,4,,"PSE"),1)</f>
        <v>Vanadium</v>
      </c>
      <c r="L20" s="199"/>
      <c r="M20" s="198" t="str">
        <f ca="1">INDIRECT(ADDRESS(21+(COLUMN()-5)/2,3,4,,"PSE"),1)</f>
        <v>Chrom</v>
      </c>
      <c r="N20" s="199"/>
      <c r="O20" s="198" t="str">
        <f ca="1">INDIRECT(ADDRESS(21+(COLUMN()-5)/2,3,4,,"PSE"),1)</f>
        <v>Mangan</v>
      </c>
      <c r="P20" s="199"/>
      <c r="Q20" s="198" t="str">
        <f ca="1">INDIRECT(ADDRESS(21+(COLUMN()-5)/2,3,4,,"PSE"),1)</f>
        <v>Eisen</v>
      </c>
      <c r="R20" s="199"/>
      <c r="S20" s="198" t="str">
        <f ca="1">INDIRECT(ADDRESS(21+(COLUMN()-5)/2,3,4,,"PSE"),1)</f>
        <v>Cobalt</v>
      </c>
      <c r="T20" s="199"/>
      <c r="U20" s="198" t="str">
        <f ca="1">INDIRECT(ADDRESS(21+(COLUMN()-5)/2,3,4,,"PSE"),1)</f>
        <v>Nickel</v>
      </c>
      <c r="V20" s="199"/>
      <c r="W20" s="198" t="str">
        <f ca="1">INDIRECT(ADDRESS(21+(COLUMN()-5)/2,3,4,,"PSE"),1)</f>
        <v>Kupfer</v>
      </c>
      <c r="X20" s="199"/>
      <c r="Y20" s="198" t="str">
        <f ca="1">INDIRECT(ADDRESS(21+(COLUMN()-5)/2,3,4,,"PSE"),1)</f>
        <v>Zink</v>
      </c>
      <c r="Z20" s="199"/>
      <c r="AA20" s="198" t="str">
        <f t="shared" ref="AA20:AK20" ca="1" si="7">INDIRECT(ADDRESS(21+(COLUMN()-5)/2,3,4,,"PSE"),1)</f>
        <v>Gallium</v>
      </c>
      <c r="AB20" s="199"/>
      <c r="AC20" s="185" t="str">
        <f t="shared" ca="1" si="7"/>
        <v>Germanium</v>
      </c>
      <c r="AD20" s="186"/>
      <c r="AE20" s="185" t="str">
        <f t="shared" ca="1" si="7"/>
        <v>Arsen</v>
      </c>
      <c r="AF20" s="186"/>
      <c r="AG20" s="185" t="str">
        <f t="shared" ca="1" si="7"/>
        <v>Selen</v>
      </c>
      <c r="AH20" s="186"/>
      <c r="AI20" s="183" t="str">
        <f t="shared" ca="1" si="7"/>
        <v>Brom</v>
      </c>
      <c r="AJ20" s="184"/>
      <c r="AK20" s="183" t="str">
        <f t="shared" ca="1" si="7"/>
        <v>Krypton</v>
      </c>
      <c r="AL20" s="184"/>
    </row>
    <row r="21" spans="1:38" ht="13.2">
      <c r="A21" s="39"/>
      <c r="B21" s="20">
        <f ca="1">INDIRECT(ADDRESS(20+(COLUMN()-2)/2,5,4,,"PSE"),1)</f>
        <v>0.8</v>
      </c>
      <c r="C21" s="21" t="str">
        <f ca="1">INDIRECT(ADDRESS(20+(COLUMN()-2)/2,6,4,,"PSE"),1)</f>
        <v>760 °C</v>
      </c>
      <c r="D21" s="7">
        <f ca="1">INDIRECT(ADDRESS(20+(COLUMN()-2)/2,5,4,,"PSE"),1)</f>
        <v>1</v>
      </c>
      <c r="E21" s="21" t="str">
        <f ca="1">INDIRECT(ADDRESS(20+(COLUMN()-2)/2,6,4,,"PSE"),1)</f>
        <v>1490 °C</v>
      </c>
      <c r="F21" s="94"/>
      <c r="G21" s="7">
        <f ca="1">INDIRECT(ADDRESS(20+(COLUMN()-2)/2,5,4,,"PSE"),1)</f>
        <v>1.3</v>
      </c>
      <c r="H21" s="21" t="str">
        <f ca="1">INDIRECT(ADDRESS(19+(COLUMN()-2)/2,6,4,,"PSE"),1)</f>
        <v>2730 °C</v>
      </c>
      <c r="I21" s="7">
        <f ca="1">INDIRECT(ADDRESS(20+(COLUMN()-2)/2,5,4,,"PSE"),1)</f>
        <v>1.5</v>
      </c>
      <c r="J21" s="21" t="str">
        <f ca="1">INDIRECT(ADDRESS(19+(COLUMN()-2)/2,6,4,,"PSE"),1)</f>
        <v>3260 °C</v>
      </c>
      <c r="K21" s="7">
        <f ca="1">INDIRECT(ADDRESS(20+(COLUMN()-2)/2,5,4,,"PSE"),1)</f>
        <v>1.6</v>
      </c>
      <c r="L21" s="21" t="str">
        <f ca="1">INDIRECT(ADDRESS(19+(COLUMN()-2)/2,6,4,,"PSE"),1)</f>
        <v>3450 °C</v>
      </c>
      <c r="M21" s="7">
        <f ca="1">INDIRECT(ADDRESS(20+(COLUMN()-2)/2,5,4,,"PSE"),1)</f>
        <v>1.6</v>
      </c>
      <c r="N21" s="21" t="str">
        <f ca="1">INDIRECT(ADDRESS(19+(COLUMN()-2)/2,6,4,,"PSE"),1)</f>
        <v>2642 °C</v>
      </c>
      <c r="O21" s="7">
        <f ca="1">INDIRECT(ADDRESS(20+(COLUMN()-2)/2,5,4,,"PSE"),1)</f>
        <v>1.5</v>
      </c>
      <c r="P21" s="21" t="str">
        <f ca="1">INDIRECT(ADDRESS(19+(COLUMN()-2)/2,6,4,,"PSE"),1)</f>
        <v>2100 °C</v>
      </c>
      <c r="Q21" s="7">
        <f ca="1">INDIRECT(ADDRESS(20+(COLUMN()-2)/2,5,4,,"PSE"),1)</f>
        <v>1.8</v>
      </c>
      <c r="R21" s="21" t="str">
        <f ca="1">INDIRECT(ADDRESS(19+(COLUMN()-2)/2,6,4,,"PSE"),1)</f>
        <v>3000 °C</v>
      </c>
      <c r="S21" s="7">
        <f ca="1">INDIRECT(ADDRESS(20+(COLUMN()-2)/2,5,4,,"PSE"),1)</f>
        <v>1.8</v>
      </c>
      <c r="T21" s="21" t="str">
        <f ca="1">INDIRECT(ADDRESS(19+(COLUMN()-2)/2,6,4,,"PSE"),1)</f>
        <v>2900 °C</v>
      </c>
      <c r="U21" s="7">
        <f ca="1">INDIRECT(ADDRESS(20+(COLUMN()-2)/2,5,4,,"PSE"),1)</f>
        <v>1.8</v>
      </c>
      <c r="V21" s="21" t="str">
        <f ca="1">INDIRECT(ADDRESS(19+(COLUMN()-2)/2,6,4,,"PSE"),1)</f>
        <v>2730 °C</v>
      </c>
      <c r="W21" s="7">
        <f ca="1">INDIRECT(ADDRESS(20+(COLUMN()-2)/2,5,4,,"PSE"),1)</f>
        <v>1.9</v>
      </c>
      <c r="X21" s="21" t="str">
        <f ca="1">INDIRECT(ADDRESS(19+(COLUMN()-2)/2,6,4,,"PSE"),1)</f>
        <v>2600 °C</v>
      </c>
      <c r="Y21" s="7">
        <f ca="1">INDIRECT(ADDRESS(20+(COLUMN()-2)/2,5,4,,"PSE"),1)</f>
        <v>1.6</v>
      </c>
      <c r="Z21" s="21" t="str">
        <f ca="1">INDIRECT(ADDRESS(19+(COLUMN()-2)/2,6,4,,"PSE"),1)</f>
        <v>906 °C</v>
      </c>
      <c r="AA21" s="7">
        <f t="shared" ref="AA21:AK21" ca="1" si="8">INDIRECT(ADDRESS(20+(COLUMN()-2)/2,5,4,,"PSE"),1)</f>
        <v>1.6</v>
      </c>
      <c r="AB21" s="21" t="str">
        <f t="shared" ref="AB21:AL21" ca="1" si="9">INDIRECT(ADDRESS(19+(COLUMN()-2)/2,6,4,,"PSE"),1)</f>
        <v>2400 °C</v>
      </c>
      <c r="AC21" s="35">
        <f t="shared" ca="1" si="8"/>
        <v>1.8</v>
      </c>
      <c r="AD21" s="36" t="str">
        <f t="shared" ca="1" si="9"/>
        <v>2830 °C</v>
      </c>
      <c r="AE21" s="35">
        <f t="shared" ca="1" si="8"/>
        <v>2</v>
      </c>
      <c r="AF21" s="36" t="str">
        <f t="shared" ca="1" si="9"/>
        <v>613 °C</v>
      </c>
      <c r="AG21" s="35">
        <f t="shared" ca="1" si="8"/>
        <v>2.4</v>
      </c>
      <c r="AH21" s="36" t="str">
        <f t="shared" ca="1" si="9"/>
        <v>685 °C</v>
      </c>
      <c r="AI21" s="124">
        <f t="shared" ca="1" si="8"/>
        <v>2.9</v>
      </c>
      <c r="AJ21" s="125" t="str">
        <f t="shared" ca="1" si="9"/>
        <v>58 °C</v>
      </c>
      <c r="AK21" s="124">
        <f t="shared" ca="1" si="8"/>
        <v>0</v>
      </c>
      <c r="AL21" s="125" t="str">
        <f t="shared" ca="1" si="9"/>
        <v>-152 °C</v>
      </c>
    </row>
    <row r="22" spans="1:38" ht="11.25" customHeight="1">
      <c r="A22" s="39"/>
      <c r="B22" s="23">
        <f ca="1">INDIRECT(ADDRESS(20+(COLUMN()-2)/2,13,4,,"PSE"),1)</f>
        <v>227</v>
      </c>
      <c r="C22" s="22" t="str">
        <f ca="1">INDIRECT(ADDRESS(20+(COLUMN()-2)/2,7,4,,"PSE"),1)</f>
        <v>64 °C</v>
      </c>
      <c r="D22" s="25">
        <f ca="1">INDIRECT(ADDRESS(20+(COLUMN()-2)/2,13,4,,"PSE"),1)</f>
        <v>197.3</v>
      </c>
      <c r="E22" s="22" t="str">
        <f ca="1">INDIRECT(ADDRESS(20+(COLUMN()-2)/2,7,4,,"PSE"),1)</f>
        <v>838 °C</v>
      </c>
      <c r="F22" s="98"/>
      <c r="G22" s="25">
        <f ca="1">INDIRECT(ADDRESS(20+(COLUMN()-2)/2,13,4,,"PSE"),1)</f>
        <v>160.6</v>
      </c>
      <c r="H22" s="22" t="str">
        <f ca="1">INDIRECT(ADDRESS(19+(COLUMN()-2)/2,7,4,,"PSE"),1)</f>
        <v>1540 °C</v>
      </c>
      <c r="I22" s="25">
        <f ca="1">INDIRECT(ADDRESS(20+(COLUMN()-2)/2,13,4,,"PSE"),1)</f>
        <v>144.80000000000001</v>
      </c>
      <c r="J22" s="22" t="str">
        <f ca="1">INDIRECT(ADDRESS(19+(COLUMN()-2)/2,7,4,,"PSE"),1)</f>
        <v>1670 °C</v>
      </c>
      <c r="K22" s="25">
        <f ca="1">INDIRECT(ADDRESS(20+(COLUMN()-2)/2,13,4,,"PSE"),1)</f>
        <v>132.1</v>
      </c>
      <c r="L22" s="22" t="str">
        <f ca="1">INDIRECT(ADDRESS(19+(COLUMN()-2)/2,7,4,,"PSE"),1)</f>
        <v>1900 °C</v>
      </c>
      <c r="M22" s="25">
        <f ca="1">INDIRECT(ADDRESS(20+(COLUMN()-2)/2,13,4,,"PSE"),1)</f>
        <v>124.9</v>
      </c>
      <c r="N22" s="22" t="str">
        <f ca="1">INDIRECT(ADDRESS(19+(COLUMN()-2)/2,7,4,,"PSE"),1)</f>
        <v>1900 °C</v>
      </c>
      <c r="O22" s="25">
        <f ca="1">INDIRECT(ADDRESS(20+(COLUMN()-2)/2,13,4,,"PSE"),1)</f>
        <v>124</v>
      </c>
      <c r="P22" s="22" t="str">
        <f ca="1">INDIRECT(ADDRESS(19+(COLUMN()-2)/2,7,4,,"PSE"),1)</f>
        <v>1250 °C</v>
      </c>
      <c r="Q22" s="25">
        <f ca="1">INDIRECT(ADDRESS(20+(COLUMN()-2)/2,13,4,,"PSE"),1)</f>
        <v>124.1</v>
      </c>
      <c r="R22" s="22" t="str">
        <f ca="1">INDIRECT(ADDRESS(19+(COLUMN()-2)/2,7,4,,"PSE"),1)</f>
        <v>1540 °C</v>
      </c>
      <c r="S22" s="25">
        <f ca="1">INDIRECT(ADDRESS(20+(COLUMN()-2)/2,13,4,,"PSE"),1)</f>
        <v>125.3</v>
      </c>
      <c r="T22" s="22" t="str">
        <f ca="1">INDIRECT(ADDRESS(19+(COLUMN()-2)/2,7,4,,"PSE"),1)</f>
        <v>1490 °C</v>
      </c>
      <c r="U22" s="25">
        <f ca="1">INDIRECT(ADDRESS(20+(COLUMN()-2)/2,13,4,,"PSE"),1)</f>
        <v>124.6</v>
      </c>
      <c r="V22" s="22" t="str">
        <f ca="1">INDIRECT(ADDRESS(19+(COLUMN()-2)/2,7,4,,"PSE"),1)</f>
        <v>1450 °C</v>
      </c>
      <c r="W22" s="25">
        <f ca="1">INDIRECT(ADDRESS(20+(COLUMN()-2)/2,13,4,,"PSE"),1)</f>
        <v>127.8</v>
      </c>
      <c r="X22" s="22" t="str">
        <f ca="1">INDIRECT(ADDRESS(19+(COLUMN()-2)/2,7,4,,"PSE"),1)</f>
        <v>1083 °C</v>
      </c>
      <c r="Y22" s="25">
        <f ca="1">INDIRECT(ADDRESS(20+(COLUMN()-2)/2,13,4,,"PSE"),1)</f>
        <v>133.19999999999999</v>
      </c>
      <c r="Z22" s="22" t="str">
        <f ca="1">INDIRECT(ADDRESS(19+(COLUMN()-2)/2,7,4,,"PSE"),1)</f>
        <v>419 °C</v>
      </c>
      <c r="AA22" s="25">
        <f t="shared" ref="AA22:AK22" ca="1" si="10">INDIRECT(ADDRESS(20+(COLUMN()-2)/2,13,4,,"PSE"),1)</f>
        <v>122.1</v>
      </c>
      <c r="AB22" s="22" t="str">
        <f t="shared" ref="AB22:AL22" ca="1" si="11">INDIRECT(ADDRESS(19+(COLUMN()-2)/2,7,4,,"PSE"),1)</f>
        <v>30 °C</v>
      </c>
      <c r="AC22" s="134">
        <f t="shared" ca="1" si="10"/>
        <v>122.5</v>
      </c>
      <c r="AD22" s="37" t="str">
        <f t="shared" ca="1" si="11"/>
        <v>937 °C</v>
      </c>
      <c r="AE22" s="134">
        <f t="shared" ca="1" si="10"/>
        <v>125</v>
      </c>
      <c r="AF22" s="37" t="str">
        <f t="shared" ca="1" si="11"/>
        <v>817 °C</v>
      </c>
      <c r="AG22" s="134">
        <f t="shared" ca="1" si="10"/>
        <v>116</v>
      </c>
      <c r="AH22" s="37" t="str">
        <f t="shared" ca="1" si="11"/>
        <v>217 °C</v>
      </c>
      <c r="AI22" s="126">
        <f t="shared" ca="1" si="10"/>
        <v>114.5</v>
      </c>
      <c r="AJ22" s="127" t="str">
        <f t="shared" ca="1" si="11"/>
        <v>-7 °C</v>
      </c>
      <c r="AK22" s="126">
        <f t="shared" ca="1" si="10"/>
        <v>200</v>
      </c>
      <c r="AL22" s="127" t="str">
        <f t="shared" ca="1" si="11"/>
        <v>-157 °C</v>
      </c>
    </row>
    <row r="23" spans="1:38" ht="18" customHeight="1">
      <c r="A23" s="39"/>
      <c r="B23" s="16">
        <f ca="1">INDIRECT(ADDRESS(38+(COLUMN()-2)/2,1,4,,"PSE"),1)</f>
        <v>37</v>
      </c>
      <c r="C23" s="75">
        <f ca="1">INDIRECT(ADDRESS(38+(COLUMN()-2)/2,4,4,,"PSE"),1)</f>
        <v>85.467799999999997</v>
      </c>
      <c r="D23" s="6">
        <f ca="1">INDIRECT(ADDRESS(38+(COLUMN()-2)/2,1,4,,"PSE"),1)</f>
        <v>38</v>
      </c>
      <c r="E23" s="49">
        <f ca="1">INDIRECT(ADDRESS(38+(COLUMN()-2)/2,4,4,,"PSE"),1)</f>
        <v>87.62</v>
      </c>
      <c r="F23" s="99"/>
      <c r="G23" s="6">
        <f ca="1">INDIRECT(ADDRESS(39+(COLUMN()-5)/2,1,4,,"PSE"),1)</f>
        <v>39</v>
      </c>
      <c r="H23" s="75">
        <f ca="1">INDIRECT(ADDRESS(37+(COLUMN()-2)/2,4,4,,"PSE"),1)</f>
        <v>88.905850000000001</v>
      </c>
      <c r="I23" s="6">
        <f ca="1">INDIRECT(ADDRESS(39+(COLUMN()-5)/2,1,4,,"PSE"),1)</f>
        <v>40</v>
      </c>
      <c r="J23" s="49">
        <f ca="1">INDIRECT(ADDRESS(37+(COLUMN()-2)/2,4,4,,"PSE"),1)</f>
        <v>91.224000000000004</v>
      </c>
      <c r="K23" s="6">
        <f ca="1">INDIRECT(ADDRESS(39+(COLUMN()-5)/2,1,4,,"PSE"),1)</f>
        <v>41</v>
      </c>
      <c r="L23" s="75">
        <f ca="1">INDIRECT(ADDRESS(37+(COLUMN()-2)/2,4,4,,"PSE"),1)</f>
        <v>92.906379999999999</v>
      </c>
      <c r="M23" s="6">
        <f ca="1">INDIRECT(ADDRESS(39+(COLUMN()-5)/2,1,4,,"PSE"),1)</f>
        <v>42</v>
      </c>
      <c r="N23" s="49">
        <f ca="1">INDIRECT(ADDRESS(37+(COLUMN()-2)/2,4,4,,"PSE"),1)</f>
        <v>95.94</v>
      </c>
      <c r="O23" s="6">
        <f ca="1">INDIRECT(ADDRESS(39+(COLUMN()-5)/2,1,4,,"PSE"),1)</f>
        <v>43</v>
      </c>
      <c r="P23" s="49">
        <f ca="1">INDIRECT(ADDRESS(37+(COLUMN()-2)/2,4,4,,"PSE"),1)</f>
        <v>97</v>
      </c>
      <c r="Q23" s="6">
        <f ca="1">INDIRECT(ADDRESS(39+(COLUMN()-5)/2,1,4,,"PSE"),1)</f>
        <v>44</v>
      </c>
      <c r="R23" s="49">
        <f ca="1">INDIRECT(ADDRESS(37+(COLUMN()-2)/2,4,4,,"PSE"),1)</f>
        <v>101.07</v>
      </c>
      <c r="S23" s="6">
        <f ca="1">INDIRECT(ADDRESS(39+(COLUMN()-5)/2,1,4,,"PSE"),1)</f>
        <v>45</v>
      </c>
      <c r="T23" s="75">
        <f ca="1">INDIRECT(ADDRESS(37+(COLUMN()-2)/2,4,4,,"PSE"),1)</f>
        <v>102.9055</v>
      </c>
      <c r="U23" s="6">
        <f ca="1">INDIRECT(ADDRESS(39+(COLUMN()-5)/2,1,4,,"PSE"),1)</f>
        <v>46</v>
      </c>
      <c r="V23" s="49">
        <f ca="1">INDIRECT(ADDRESS(37+(COLUMN()-2)/2,4,4,,"PSE"),1)</f>
        <v>106.42</v>
      </c>
      <c r="W23" s="6">
        <f ca="1">INDIRECT(ADDRESS(39+(COLUMN()-5)/2,1,4,,"PSE"),1)</f>
        <v>47</v>
      </c>
      <c r="X23" s="75">
        <f ca="1">INDIRECT(ADDRESS(37+(COLUMN()-2)/2,4,4,,"PSE"),1)</f>
        <v>107.8682</v>
      </c>
      <c r="Y23" s="6">
        <f ca="1">INDIRECT(ADDRESS(39+(COLUMN()-5)/2,1,4,,"PSE"),1)</f>
        <v>48</v>
      </c>
      <c r="Z23" s="49">
        <f ca="1">INDIRECT(ADDRESS(37+(COLUMN()-2)/2,4,4,,"PSE"),1)</f>
        <v>112.411</v>
      </c>
      <c r="AA23" s="6">
        <f ca="1">INDIRECT(ADDRESS(39+(COLUMN()-5)/2,1,4,,"PSE"),1)</f>
        <v>49</v>
      </c>
      <c r="AB23" s="75">
        <f ca="1">INDIRECT(ADDRESS(37+(COLUMN()-2)/2,4,4,,"PSE"),1)</f>
        <v>114.818</v>
      </c>
      <c r="AC23" s="6">
        <f t="shared" ref="AC23:AK23" ca="1" si="12">INDIRECT(ADDRESS(39+(COLUMN()-5)/2,1,4,,"PSE"),1)</f>
        <v>50</v>
      </c>
      <c r="AD23" s="49">
        <f t="shared" ref="AD23:AL23" ca="1" si="13">INDIRECT(ADDRESS(37+(COLUMN()-2)/2,4,4,,"PSE"),1)</f>
        <v>118.71</v>
      </c>
      <c r="AE23" s="33">
        <f t="shared" ca="1" si="12"/>
        <v>51</v>
      </c>
      <c r="AF23" s="135">
        <f t="shared" ca="1" si="13"/>
        <v>121.76</v>
      </c>
      <c r="AG23" s="33">
        <f t="shared" ca="1" si="12"/>
        <v>52</v>
      </c>
      <c r="AH23" s="135">
        <f t="shared" ca="1" si="13"/>
        <v>127.6</v>
      </c>
      <c r="AI23" s="120">
        <f t="shared" ca="1" si="12"/>
        <v>53</v>
      </c>
      <c r="AJ23" s="132">
        <f t="shared" ca="1" si="13"/>
        <v>126.90447</v>
      </c>
      <c r="AK23" s="120">
        <f t="shared" ca="1" si="12"/>
        <v>54</v>
      </c>
      <c r="AL23" s="130">
        <f t="shared" ca="1" si="13"/>
        <v>131.29300000000001</v>
      </c>
    </row>
    <row r="24" spans="1:38" s="63" customFormat="1" ht="30" customHeight="1">
      <c r="A24" s="68" t="s">
        <v>706</v>
      </c>
      <c r="B24" s="64" t="str">
        <f ca="1">INDIRECT(ADDRESS(38+(COLUMN()-2)/2,8,4,,"PSE"),1)</f>
        <v>1,532 g/cm³</v>
      </c>
      <c r="C24" s="65" t="str">
        <f ca="1">INDIRECT(ADDRESS(38+(COLUMN()-2)/2,2,4,,"PSE"),1)</f>
        <v>Rb</v>
      </c>
      <c r="D24" s="64" t="str">
        <f ca="1">INDIRECT(ADDRESS(38+(COLUMN()-2)/2,8,4,,"PSE"),1)</f>
        <v>2,64 g/cm³</v>
      </c>
      <c r="E24" s="65" t="str">
        <f ca="1">INDIRECT(ADDRESS(38+(COLUMN()-2)/2,2,4,,"PSE"),1)</f>
        <v>Sr</v>
      </c>
      <c r="F24" s="97"/>
      <c r="G24" s="64" t="str">
        <f ca="1">INDIRECT(ADDRESS(38+(COLUMN()-2)/2,8,4,,"PSE"),1)</f>
        <v>4,47 g/cm³</v>
      </c>
      <c r="H24" s="65" t="str">
        <f ca="1">INDIRECT(ADDRESS(37+(COLUMN()-2)/2,2,4,,"PSE"),1)</f>
        <v>Y</v>
      </c>
      <c r="I24" s="64" t="str">
        <f ca="1">INDIRECT(ADDRESS(38+(COLUMN()-2)/2,8,4,,"PSE"),1)</f>
        <v>6,51 g/cm³</v>
      </c>
      <c r="J24" s="65" t="str">
        <f ca="1">INDIRECT(ADDRESS(37+(COLUMN()-2)/2,2,4,,"PSE"),1)</f>
        <v>Zr</v>
      </c>
      <c r="K24" s="64" t="str">
        <f ca="1">INDIRECT(ADDRESS(38+(COLUMN()-2)/2,8,4,,"PSE"),1)</f>
        <v>8,58 g/cm³</v>
      </c>
      <c r="L24" s="65" t="str">
        <f ca="1">INDIRECT(ADDRESS(37+(COLUMN()-2)/2,2,4,,"PSE"),1)</f>
        <v>Nb</v>
      </c>
      <c r="M24" s="64" t="str">
        <f ca="1">INDIRECT(ADDRESS(38+(COLUMN()-2)/2,8,4,,"PSE"),1)</f>
        <v>10,28 g/cm³</v>
      </c>
      <c r="N24" s="65" t="str">
        <f ca="1">INDIRECT(ADDRESS(37+(COLUMN()-2)/2,2,4,,"PSE"),1)</f>
        <v>Mo</v>
      </c>
      <c r="O24" s="64" t="str">
        <f ca="1">INDIRECT(ADDRESS(38+(COLUMN()-2)/2,8,4,,"PSE"),1)</f>
        <v>11,49 g/cm³</v>
      </c>
      <c r="P24" s="65" t="str">
        <f ca="1">INDIRECT(ADDRESS(37+(COLUMN()-2)/2,2,4,,"PSE"),1)</f>
        <v>Tc</v>
      </c>
      <c r="Q24" s="64" t="str">
        <f ca="1">INDIRECT(ADDRESS(38+(COLUMN()-2)/2,8,4,,"PSE"),1)</f>
        <v>12,45 g/cm³</v>
      </c>
      <c r="R24" s="65" t="str">
        <f ca="1">INDIRECT(ADDRESS(37+(COLUMN()-2)/2,2,4,,"PSE"),1)</f>
        <v>Ru</v>
      </c>
      <c r="S24" s="64" t="str">
        <f ca="1">INDIRECT(ADDRESS(38+(COLUMN()-2)/2,8,4,,"PSE"),1)</f>
        <v>12,41 g/cm³</v>
      </c>
      <c r="T24" s="65" t="str">
        <f ca="1">INDIRECT(ADDRESS(37+(COLUMN()-2)/2,2,4,,"PSE"),1)</f>
        <v>Rh</v>
      </c>
      <c r="U24" s="64" t="str">
        <f ca="1">INDIRECT(ADDRESS(38+(COLUMN()-2)/2,8,4,,"PSE"),1)</f>
        <v>12,02 g/cm³</v>
      </c>
      <c r="V24" s="65" t="str">
        <f ca="1">INDIRECT(ADDRESS(37+(COLUMN()-2)/2,2,4,,"PSE"),1)</f>
        <v>Pd</v>
      </c>
      <c r="W24" s="64" t="str">
        <f ca="1">INDIRECT(ADDRESS(38+(COLUMN()-2)/2,8,4,,"PSE"),1)</f>
        <v>10,49 g/cm³</v>
      </c>
      <c r="X24" s="65" t="str">
        <f ca="1">INDIRECT(ADDRESS(37+(COLUMN()-2)/2,2,4,,"PSE"),1)</f>
        <v>Ag</v>
      </c>
      <c r="Y24" s="64" t="str">
        <f ca="1">INDIRECT(ADDRESS(38+(COLUMN()-2)/2,8,4,,"PSE"),1)</f>
        <v>8,64 g/cm³</v>
      </c>
      <c r="Z24" s="65" t="str">
        <f ca="1">INDIRECT(ADDRESS(37+(COLUMN()-2)/2,2,4,,"PSE"),1)</f>
        <v>Cd</v>
      </c>
      <c r="AA24" s="64" t="str">
        <f ca="1">INDIRECT(ADDRESS(38+(COLUMN()-2)/2,8,4,,"PSE"),1)</f>
        <v>7,31 g/cm³</v>
      </c>
      <c r="AB24" s="65" t="str">
        <f ca="1">INDIRECT(ADDRESS(37+(COLUMN()-2)/2,2,4,,"PSE"),1)</f>
        <v>In</v>
      </c>
      <c r="AC24" s="64" t="str">
        <f t="shared" ref="AC24:AK24" ca="1" si="14">INDIRECT(ADDRESS(38+(COLUMN()-2)/2,8,4,,"PSE"),1)</f>
        <v>7,29 g/cm³</v>
      </c>
      <c r="AD24" s="65" t="str">
        <f t="shared" ref="AD24:AL24" ca="1" si="15">INDIRECT(ADDRESS(37+(COLUMN()-2)/2,2,4,,"PSE"),1)</f>
        <v>Sn</v>
      </c>
      <c r="AE24" s="70" t="str">
        <f t="shared" ca="1" si="14"/>
        <v>6,69 g/cm³</v>
      </c>
      <c r="AF24" s="133" t="str">
        <f t="shared" ca="1" si="15"/>
        <v>Sb</v>
      </c>
      <c r="AG24" s="70" t="str">
        <f t="shared" ca="1" si="14"/>
        <v>6,25 g/cm³</v>
      </c>
      <c r="AH24" s="133" t="str">
        <f t="shared" ca="1" si="15"/>
        <v>Te</v>
      </c>
      <c r="AI24" s="122" t="str">
        <f t="shared" ca="1" si="14"/>
        <v>4,94 g/cm³</v>
      </c>
      <c r="AJ24" s="110" t="str">
        <f t="shared" ca="1" si="15"/>
        <v>I</v>
      </c>
      <c r="AK24" s="122" t="str">
        <f t="shared" ca="1" si="14"/>
        <v>5,89 g/L</v>
      </c>
      <c r="AL24" s="123" t="str">
        <f t="shared" ca="1" si="15"/>
        <v>Xe</v>
      </c>
    </row>
    <row r="25" spans="1:38" ht="15" customHeight="1">
      <c r="A25" s="39"/>
      <c r="B25" s="198" t="str">
        <f ca="1">INDIRECT(ADDRESS(38+(COLUMN()-2)/2,3,4,,"PSE"),1)</f>
        <v>Rubidium</v>
      </c>
      <c r="C25" s="199"/>
      <c r="D25" s="198" t="str">
        <f ca="1">INDIRECT(ADDRESS(38+(COLUMN()-2)/2,3,4,,"PSE"),1)</f>
        <v>Strontium</v>
      </c>
      <c r="E25" s="199"/>
      <c r="F25" s="93"/>
      <c r="G25" s="198" t="str">
        <f ca="1">INDIRECT(ADDRESS(39+(COLUMN()-5)/2,3,4,,"PSE"),1)</f>
        <v>Yttrium</v>
      </c>
      <c r="H25" s="199"/>
      <c r="I25" s="198" t="str">
        <f ca="1">INDIRECT(ADDRESS(39+(COLUMN()-5)/2,3,4,,"PSE"),1)</f>
        <v>Zirconium</v>
      </c>
      <c r="J25" s="199"/>
      <c r="K25" s="198" t="str">
        <f ca="1">INDIRECT(ADDRESS(39+(COLUMN()-5)/2,3,4,,"PSE"),1)</f>
        <v>Niob</v>
      </c>
      <c r="L25" s="199"/>
      <c r="M25" s="198" t="str">
        <f ca="1">INDIRECT(ADDRESS(39+(COLUMN()-5)/2,3,4,,"PSE"),1)</f>
        <v>Molybdän</v>
      </c>
      <c r="N25" s="199"/>
      <c r="O25" s="198" t="str">
        <f ca="1">INDIRECT(ADDRESS(39+(COLUMN()-5)/2,3,4,,"PSE"),1)</f>
        <v>Technetium</v>
      </c>
      <c r="P25" s="199"/>
      <c r="Q25" s="198" t="str">
        <f ca="1">INDIRECT(ADDRESS(39+(COLUMN()-5)/2,3,4,,"PSE"),1)</f>
        <v>Ruthenium</v>
      </c>
      <c r="R25" s="199"/>
      <c r="S25" s="198" t="str">
        <f ca="1">INDIRECT(ADDRESS(39+(COLUMN()-5)/2,3,4,,"PSE"),1)</f>
        <v>Rhodium</v>
      </c>
      <c r="T25" s="199"/>
      <c r="U25" s="198" t="str">
        <f ca="1">INDIRECT(ADDRESS(39+(COLUMN()-5)/2,3,4,,"PSE"),1)</f>
        <v>Palladium</v>
      </c>
      <c r="V25" s="199"/>
      <c r="W25" s="198" t="str">
        <f ca="1">INDIRECT(ADDRESS(39+(COLUMN()-5)/2,3,4,,"PSE"),1)</f>
        <v>Silber</v>
      </c>
      <c r="X25" s="199"/>
      <c r="Y25" s="198" t="str">
        <f ca="1">INDIRECT(ADDRESS(39+(COLUMN()-5)/2,3,4,,"PSE"),1)</f>
        <v>Cadmium</v>
      </c>
      <c r="Z25" s="199"/>
      <c r="AA25" s="198" t="str">
        <f ca="1">INDIRECT(ADDRESS(39+(COLUMN()-5)/2,3,4,,"PSE"),1)</f>
        <v>Indium</v>
      </c>
      <c r="AB25" s="199"/>
      <c r="AC25" s="198" t="str">
        <f t="shared" ref="AC25:AK25" ca="1" si="16">INDIRECT(ADDRESS(39+(COLUMN()-5)/2,3,4,,"PSE"),1)</f>
        <v>Zinn</v>
      </c>
      <c r="AD25" s="199"/>
      <c r="AE25" s="185" t="str">
        <f t="shared" ca="1" si="16"/>
        <v>Antimon</v>
      </c>
      <c r="AF25" s="186"/>
      <c r="AG25" s="185" t="str">
        <f t="shared" ca="1" si="16"/>
        <v>Tellur</v>
      </c>
      <c r="AH25" s="186"/>
      <c r="AI25" s="183" t="str">
        <f t="shared" ca="1" si="16"/>
        <v>Iod</v>
      </c>
      <c r="AJ25" s="184"/>
      <c r="AK25" s="183" t="str">
        <f t="shared" ca="1" si="16"/>
        <v>Xenon</v>
      </c>
      <c r="AL25" s="184"/>
    </row>
    <row r="26" spans="1:38" ht="13.2">
      <c r="A26" s="39"/>
      <c r="B26" s="20">
        <f ca="1">INDIRECT(ADDRESS(38+(COLUMN()-2)/2,5,4,,"PSE"),1)</f>
        <v>0.8</v>
      </c>
      <c r="C26" s="21" t="str">
        <f ca="1">INDIRECT(ADDRESS(38+(COLUMN()-2)/2,6,4,,"PSE"),1)</f>
        <v>688 °C</v>
      </c>
      <c r="D26" s="7">
        <f ca="1">INDIRECT(ADDRESS(38+(COLUMN()-2)/2,5,4,,"PSE"),1)</f>
        <v>1</v>
      </c>
      <c r="E26" s="21" t="str">
        <f ca="1">INDIRECT(ADDRESS(38+(COLUMN()-2)/2,6,4,,"PSE"),1)</f>
        <v>1380 °C</v>
      </c>
      <c r="F26" s="94"/>
      <c r="G26" s="7">
        <f ca="1">INDIRECT(ADDRESS(38+(COLUMN()-3)/2,5,4,,"PSE"),1)</f>
        <v>1.2</v>
      </c>
      <c r="H26" s="21" t="str">
        <f ca="1">INDIRECT(ADDRESS(38+(COLUMN()-3)/2,6,4,,"PSE"),1)</f>
        <v>2930 °C</v>
      </c>
      <c r="I26" s="7">
        <f ca="1">INDIRECT(ADDRESS(38+(COLUMN()-3)/2,5,4,,"PSE"),1)</f>
        <v>1.4</v>
      </c>
      <c r="J26" s="21" t="str">
        <f ca="1">INDIRECT(ADDRESS(38+(COLUMN()-3)/2,6,4,,"PSE"),1)</f>
        <v>3580 °C</v>
      </c>
      <c r="K26" s="7">
        <f ca="1">INDIRECT(ADDRESS(38+(COLUMN()-3)/2,5,4,,"PSE"),1)</f>
        <v>1.6</v>
      </c>
      <c r="L26" s="21" t="str">
        <f ca="1">INDIRECT(ADDRESS(38+(COLUMN()-3)/2,6,4,,"PSE"),1)</f>
        <v>4900 °C</v>
      </c>
      <c r="M26" s="7">
        <f ca="1">INDIRECT(ADDRESS(38+(COLUMN()-3)/2,5,4,,"PSE"),1)</f>
        <v>1.8</v>
      </c>
      <c r="N26" s="21" t="str">
        <f ca="1">INDIRECT(ADDRESS(38+(COLUMN()-3)/2,6,4,,"PSE"),1)</f>
        <v>5560 °C</v>
      </c>
      <c r="O26" s="7">
        <f ca="1">INDIRECT(ADDRESS(38+(COLUMN()-3)/2,5,4,,"PSE"),1)</f>
        <v>1.9</v>
      </c>
      <c r="P26" s="21" t="str">
        <f ca="1">INDIRECT(ADDRESS(38+(COLUMN()-3)/2,6,4,,"PSE"),1)</f>
        <v>4600 °C</v>
      </c>
      <c r="Q26" s="7">
        <f ca="1">INDIRECT(ADDRESS(38+(COLUMN()-3)/2,5,4,,"PSE"),1)</f>
        <v>2.2000000000000002</v>
      </c>
      <c r="R26" s="21" t="str">
        <f ca="1">INDIRECT(ADDRESS(38+(COLUMN()-3)/2,6,4,,"PSE"),1)</f>
        <v>3900 °C</v>
      </c>
      <c r="S26" s="7">
        <f ca="1">INDIRECT(ADDRESS(38+(COLUMN()-3)/2,5,4,,"PSE"),1)</f>
        <v>2.2000000000000002</v>
      </c>
      <c r="T26" s="21" t="str">
        <f ca="1">INDIRECT(ADDRESS(38+(COLUMN()-3)/2,6,4,,"PSE"),1)</f>
        <v>3730 °C</v>
      </c>
      <c r="U26" s="7">
        <f ca="1">INDIRECT(ADDRESS(38+(COLUMN()-3)/2,5,4,,"PSE"),1)</f>
        <v>2.2000000000000002</v>
      </c>
      <c r="V26" s="21" t="str">
        <f ca="1">INDIRECT(ADDRESS(38+(COLUMN()-3)/2,6,4,,"PSE"),1)</f>
        <v>3125 °C</v>
      </c>
      <c r="W26" s="7">
        <f ca="1">INDIRECT(ADDRESS(38+(COLUMN()-3)/2,5,4,,"PSE"),1)</f>
        <v>1.9</v>
      </c>
      <c r="X26" s="21" t="str">
        <f ca="1">INDIRECT(ADDRESS(38+(COLUMN()-3)/2,6,4,,"PSE"),1)</f>
        <v>2210 °C</v>
      </c>
      <c r="Y26" s="7">
        <f ca="1">INDIRECT(ADDRESS(38+(COLUMN()-3)/2,5,4,,"PSE"),1)</f>
        <v>1.7</v>
      </c>
      <c r="Z26" s="21" t="str">
        <f ca="1">INDIRECT(ADDRESS(38+(COLUMN()-3)/2,6,4,,"PSE"),1)</f>
        <v>765 °C</v>
      </c>
      <c r="AA26" s="7">
        <f ca="1">INDIRECT(ADDRESS(38+(COLUMN()-3)/2,5,4,,"PSE"),1)</f>
        <v>1.7</v>
      </c>
      <c r="AB26" s="21" t="str">
        <f ca="1">INDIRECT(ADDRESS(38+(COLUMN()-3)/2,6,4,,"PSE"),1)</f>
        <v>2000 °C</v>
      </c>
      <c r="AC26" s="7">
        <f t="shared" ref="AC26:AK26" ca="1" si="17">INDIRECT(ADDRESS(38+(COLUMN()-3)/2,5,4,,"PSE"),1)</f>
        <v>1.8</v>
      </c>
      <c r="AD26" s="21" t="str">
        <f t="shared" ref="AD26:AL26" ca="1" si="18">INDIRECT(ADDRESS(38+(COLUMN()-3)/2,6,4,,"PSE"),1)</f>
        <v>2270 °C</v>
      </c>
      <c r="AE26" s="35">
        <f t="shared" ca="1" si="17"/>
        <v>1.9</v>
      </c>
      <c r="AF26" s="36" t="str">
        <f t="shared" ca="1" si="18"/>
        <v>1380 °C</v>
      </c>
      <c r="AG26" s="35">
        <f t="shared" ca="1" si="17"/>
        <v>2.1</v>
      </c>
      <c r="AH26" s="36" t="str">
        <f t="shared" ca="1" si="18"/>
        <v>1390 °C</v>
      </c>
      <c r="AI26" s="124">
        <f t="shared" ca="1" si="17"/>
        <v>2.5</v>
      </c>
      <c r="AJ26" s="125" t="str">
        <f t="shared" ca="1" si="18"/>
        <v>183 °C</v>
      </c>
      <c r="AK26" s="124">
        <f t="shared" ca="1" si="17"/>
        <v>0</v>
      </c>
      <c r="AL26" s="125" t="str">
        <f t="shared" ca="1" si="18"/>
        <v>-108 °C</v>
      </c>
    </row>
    <row r="27" spans="1:38" ht="11.25" customHeight="1">
      <c r="A27" s="39"/>
      <c r="B27" s="23">
        <f ca="1">INDIRECT(ADDRESS(38+(COLUMN()-2)/2,13,4,,"PSE"),1)</f>
        <v>247.5</v>
      </c>
      <c r="C27" s="22" t="str">
        <f ca="1">INDIRECT(ADDRESS(38+(COLUMN()-2)/2,7,4,,"PSE"),1)</f>
        <v>39 °C</v>
      </c>
      <c r="D27" s="25">
        <f ca="1">INDIRECT(ADDRESS(38+(COLUMN()-2)/2,13,4,,"PSE"),1)</f>
        <v>215.1</v>
      </c>
      <c r="E27" s="22" t="str">
        <f ca="1">INDIRECT(ADDRESS(38+(COLUMN()-2)/2,7,4,,"PSE"),1)</f>
        <v>770 °C</v>
      </c>
      <c r="F27" s="98"/>
      <c r="G27" s="25">
        <f ca="1">INDIRECT(ADDRESS(38+(COLUMN()-3)/2,13,4,,"PSE"),1)</f>
        <v>181</v>
      </c>
      <c r="H27" s="22" t="str">
        <f ca="1">INDIRECT(ADDRESS(38+(COLUMN()-3)/2,7,4,,"PSE"),1)</f>
        <v>1500 °C</v>
      </c>
      <c r="I27" s="25">
        <f ca="1">INDIRECT(ADDRESS(38+(COLUMN()-3)/2,13,4,,"PSE"),1)</f>
        <v>160</v>
      </c>
      <c r="J27" s="22" t="str">
        <f ca="1">INDIRECT(ADDRESS(38+(COLUMN()-3)/2,7,4,,"PSE"),1)</f>
        <v>1850 °C</v>
      </c>
      <c r="K27" s="25">
        <f ca="1">INDIRECT(ADDRESS(38+(COLUMN()-3)/2,13,4,,"PSE"),1)</f>
        <v>142.9</v>
      </c>
      <c r="L27" s="22" t="str">
        <f ca="1">INDIRECT(ADDRESS(38+(COLUMN()-3)/2,7,4,,"PSE"),1)</f>
        <v>2420 °C</v>
      </c>
      <c r="M27" s="25">
        <f ca="1">INDIRECT(ADDRESS(38+(COLUMN()-3)/2,13,4,,"PSE"),1)</f>
        <v>136.19999999999999</v>
      </c>
      <c r="N27" s="22" t="str">
        <f ca="1">INDIRECT(ADDRESS(38+(COLUMN()-3)/2,7,4,,"PSE"),1)</f>
        <v>2610 °C</v>
      </c>
      <c r="O27" s="25">
        <f ca="1">INDIRECT(ADDRESS(38+(COLUMN()-3)/2,13,4,,"PSE"),1)</f>
        <v>135.80000000000001</v>
      </c>
      <c r="P27" s="22" t="str">
        <f ca="1">INDIRECT(ADDRESS(38+(COLUMN()-3)/2,7,4,,"PSE"),1)</f>
        <v>2140 °C</v>
      </c>
      <c r="Q27" s="25">
        <f ca="1">INDIRECT(ADDRESS(38+(COLUMN()-3)/2,13,4,,"PSE"),1)</f>
        <v>134</v>
      </c>
      <c r="R27" s="22" t="str">
        <f ca="1">INDIRECT(ADDRESS(38+(COLUMN()-3)/2,7,4,,"PSE"),1)</f>
        <v>2300 °C</v>
      </c>
      <c r="S27" s="25">
        <f ca="1">INDIRECT(ADDRESS(38+(COLUMN()-3)/2,13,4,,"PSE"),1)</f>
        <v>134.5</v>
      </c>
      <c r="T27" s="22" t="str">
        <f ca="1">INDIRECT(ADDRESS(38+(COLUMN()-3)/2,7,4,,"PSE"),1)</f>
        <v>1970 °C</v>
      </c>
      <c r="U27" s="25">
        <f ca="1">INDIRECT(ADDRESS(38+(COLUMN()-3)/2,13,4,,"PSE"),1)</f>
        <v>137.6</v>
      </c>
      <c r="V27" s="22" t="str">
        <f ca="1">INDIRECT(ADDRESS(38+(COLUMN()-3)/2,7,4,,"PSE"),1)</f>
        <v>1550 °C</v>
      </c>
      <c r="W27" s="25">
        <f ca="1">INDIRECT(ADDRESS(38+(COLUMN()-3)/2,13,4,,"PSE"),1)</f>
        <v>144.4</v>
      </c>
      <c r="X27" s="22" t="str">
        <f ca="1">INDIRECT(ADDRESS(38+(COLUMN()-3)/2,7,4,,"PSE"),1)</f>
        <v>961 °C</v>
      </c>
      <c r="Y27" s="25">
        <f ca="1">INDIRECT(ADDRESS(38+(COLUMN()-3)/2,13,4,,"PSE"),1)</f>
        <v>148.9</v>
      </c>
      <c r="Z27" s="22" t="str">
        <f ca="1">INDIRECT(ADDRESS(38+(COLUMN()-3)/2,7,4,,"PSE"),1)</f>
        <v>321 °C</v>
      </c>
      <c r="AA27" s="25">
        <f ca="1">INDIRECT(ADDRESS(38+(COLUMN()-3)/2,13,4,,"PSE"),1)</f>
        <v>162.6</v>
      </c>
      <c r="AB27" s="22" t="str">
        <f ca="1">INDIRECT(ADDRESS(38+(COLUMN()-3)/2,7,4,,"PSE"),1)</f>
        <v>156 °C</v>
      </c>
      <c r="AC27" s="25">
        <f t="shared" ref="AC27:AK27" ca="1" si="19">INDIRECT(ADDRESS(38+(COLUMN()-3)/2,13,4,,"PSE"),1)</f>
        <v>140.5</v>
      </c>
      <c r="AD27" s="22" t="str">
        <f t="shared" ref="AD27:AL27" ca="1" si="20">INDIRECT(ADDRESS(38+(COLUMN()-3)/2,7,4,,"PSE"),1)</f>
        <v>232 °C</v>
      </c>
      <c r="AE27" s="134">
        <f t="shared" ca="1" si="19"/>
        <v>145</v>
      </c>
      <c r="AF27" s="37" t="str">
        <f t="shared" ca="1" si="20"/>
        <v>631 °C</v>
      </c>
      <c r="AG27" s="134">
        <f t="shared" ca="1" si="19"/>
        <v>143.19999999999999</v>
      </c>
      <c r="AH27" s="37" t="str">
        <f t="shared" ca="1" si="20"/>
        <v>450 °C</v>
      </c>
      <c r="AI27" s="126">
        <f t="shared" ca="1" si="19"/>
        <v>133.1</v>
      </c>
      <c r="AJ27" s="127" t="str">
        <f t="shared" ca="1" si="20"/>
        <v>114 °C</v>
      </c>
      <c r="AK27" s="126">
        <f t="shared" ca="1" si="19"/>
        <v>218</v>
      </c>
      <c r="AL27" s="127" t="str">
        <f t="shared" ca="1" si="20"/>
        <v>-112 °C</v>
      </c>
    </row>
    <row r="28" spans="1:38" ht="18" customHeight="1">
      <c r="A28" s="39"/>
      <c r="B28" s="16">
        <f ca="1">INDIRECT(ADDRESS(56+14*(COLUMN()&gt;6)+(COLUMN()-2)/2,1,4,,"PSE"),1)</f>
        <v>55</v>
      </c>
      <c r="C28" s="75">
        <f ca="1">INDIRECT(ADDRESS(56+14*(COLUMN()&gt;6)+(COLUMN()-2)/2,4,4,,"PSE"),1)</f>
        <v>132.90545</v>
      </c>
      <c r="D28" s="6">
        <f ca="1">INDIRECT(ADDRESS(56+14*(COLUMN()&gt;6)+(COLUMN()-2)/2,1,4,,"PSE"),1)</f>
        <v>56</v>
      </c>
      <c r="E28" s="49">
        <f ca="1">INDIRECT(ADDRESS(56+14*(COLUMN()&gt;6)+(COLUMN()-2)/2,4,4,,"PSE"),1)</f>
        <v>137.327</v>
      </c>
      <c r="F28" s="136" t="s">
        <v>999</v>
      </c>
      <c r="G28" s="16">
        <f ca="1">INDIRECT(ADDRESS(71+(COLUMN()-5)/2,1,4,,"PSE"),1)</f>
        <v>71</v>
      </c>
      <c r="H28" s="49">
        <f ca="1">INDIRECT(ADDRESS(71+(COLUMN()-5)/2,4,4,,"PSE"),1)</f>
        <v>174.96700000000001</v>
      </c>
      <c r="I28" s="16">
        <f ca="1">INDIRECT(ADDRESS(71+(COLUMN()-5)/2,1,4,,"PSE"),1)</f>
        <v>72</v>
      </c>
      <c r="J28" s="49">
        <f ca="1">INDIRECT(ADDRESS(71+(COLUMN()-5)/2,4,4,,"PSE"),1)</f>
        <v>178.49</v>
      </c>
      <c r="K28" s="16">
        <f ca="1">INDIRECT(ADDRESS(71+(COLUMN()-5)/2,1,4,,"PSE"),1)</f>
        <v>73</v>
      </c>
      <c r="L28" s="75">
        <f ca="1">INDIRECT(ADDRESS(71+(COLUMN()-5)/2,4,4,,"PSE"),1)</f>
        <v>180.9479</v>
      </c>
      <c r="M28" s="16">
        <f ca="1">INDIRECT(ADDRESS(71+(COLUMN()-5)/2,1,4,,"PSE"),1)</f>
        <v>74</v>
      </c>
      <c r="N28" s="49">
        <f ca="1">INDIRECT(ADDRESS(71+(COLUMN()-5)/2,4,4,,"PSE"),1)</f>
        <v>183.84</v>
      </c>
      <c r="O28" s="16">
        <f ca="1">INDIRECT(ADDRESS(71+(COLUMN()-5)/2,1,4,,"PSE"),1)</f>
        <v>75</v>
      </c>
      <c r="P28" s="49">
        <f ca="1">INDIRECT(ADDRESS(71+(COLUMN()-5)/2,4,4,,"PSE"),1)</f>
        <v>186.20699999999999</v>
      </c>
      <c r="Q28" s="16">
        <f ca="1">INDIRECT(ADDRESS(71+(COLUMN()-5)/2,1,4,,"PSE"),1)</f>
        <v>76</v>
      </c>
      <c r="R28" s="49">
        <f ca="1">INDIRECT(ADDRESS(71+(COLUMN()-5)/2,4,4,,"PSE"),1)</f>
        <v>190.23</v>
      </c>
      <c r="S28" s="16">
        <f ca="1">INDIRECT(ADDRESS(71+(COLUMN()-5)/2,1,4,,"PSE"),1)</f>
        <v>77</v>
      </c>
      <c r="T28" s="49">
        <f ca="1">INDIRECT(ADDRESS(71+(COLUMN()-5)/2,4,4,,"PSE"),1)</f>
        <v>192.21700000000001</v>
      </c>
      <c r="U28" s="16">
        <f ca="1">INDIRECT(ADDRESS(71+(COLUMN()-5)/2,1,4,,"PSE"),1)</f>
        <v>78</v>
      </c>
      <c r="V28" s="49">
        <f ca="1">INDIRECT(ADDRESS(71+(COLUMN()-5)/2,4,4,,"PSE"),1)</f>
        <v>195.084</v>
      </c>
      <c r="W28" s="16">
        <f ca="1">INDIRECT(ADDRESS(71+(COLUMN()-5)/2,1,4,,"PSE"),1)</f>
        <v>79</v>
      </c>
      <c r="X28" s="75">
        <f ca="1">INDIRECT(ADDRESS(71+(COLUMN()-5)/2,4,4,,"PSE"),1)</f>
        <v>196.96655000000001</v>
      </c>
      <c r="Y28" s="16">
        <f ca="1">INDIRECT(ADDRESS(71+(COLUMN()-5)/2,1,4,,"PSE"),1)</f>
        <v>80</v>
      </c>
      <c r="Z28" s="49">
        <f ca="1">INDIRECT(ADDRESS(71+(COLUMN()-5)/2,4,4,,"PSE"),1)</f>
        <v>200.59</v>
      </c>
      <c r="AA28" s="16">
        <f ca="1">INDIRECT(ADDRESS(71+(COLUMN()-5)/2,1,4,,"PSE"),1)</f>
        <v>81</v>
      </c>
      <c r="AB28" s="75">
        <f ca="1">INDIRECT(ADDRESS(71+(COLUMN()-5)/2,4,4,,"PSE"),1)</f>
        <v>204.38329999999999</v>
      </c>
      <c r="AC28" s="16">
        <f ca="1">INDIRECT(ADDRESS(71+(COLUMN()-5)/2,1,4,,"PSE"),1)</f>
        <v>82</v>
      </c>
      <c r="AD28" s="49">
        <f ca="1">INDIRECT(ADDRESS(71+(COLUMN()-5)/2,4,4,,"PSE"),1)</f>
        <v>207.2</v>
      </c>
      <c r="AE28" s="16">
        <f ca="1">INDIRECT(ADDRESS(71+(COLUMN()-5)/2,1,4,,"PSE"),1)</f>
        <v>83</v>
      </c>
      <c r="AF28" s="77">
        <f ca="1">INDIRECT(ADDRESS(71+(COLUMN()-5)/2,4,4,,"PSE"),1)</f>
        <v>208.98038</v>
      </c>
      <c r="AG28" s="16">
        <f ca="1">INDIRECT(ADDRESS(71+(COLUMN()-5)/2,1,4,,"PSE"),1)</f>
        <v>84</v>
      </c>
      <c r="AH28" s="49">
        <f ca="1">INDIRECT(ADDRESS(71+(COLUMN()-5)/2,4,4,,"PSE"),1)</f>
        <v>209</v>
      </c>
      <c r="AI28" s="33">
        <f ca="1">INDIRECT(ADDRESS(71+(COLUMN()-5)/2,1,4,,"PSE"),1)</f>
        <v>85</v>
      </c>
      <c r="AJ28" s="135">
        <f ca="1">INDIRECT(ADDRESS(71+(COLUMN()-5)/2,4,4,,"PSE"),1)</f>
        <v>210</v>
      </c>
      <c r="AK28" s="120">
        <f ca="1">INDIRECT(ADDRESS(71+(COLUMN()-5)/2,1,4,,"PSE"),1)</f>
        <v>86</v>
      </c>
      <c r="AL28" s="130">
        <f ca="1">INDIRECT(ADDRESS(71+(COLUMN()-5)/2,4,4,,"PSE"),1)</f>
        <v>222</v>
      </c>
    </row>
    <row r="29" spans="1:38" s="63" customFormat="1" ht="30" customHeight="1">
      <c r="A29" s="68" t="s">
        <v>707</v>
      </c>
      <c r="B29" s="64" t="str">
        <f ca="1">INDIRECT(ADDRESS(56+14*(COLUMN()&gt;6)+(COLUMN()-2)/2,8,4,,"PSE"),1)</f>
        <v>1,873 g/cm³</v>
      </c>
      <c r="C29" s="65" t="str">
        <f ca="1">INDIRECT(ADDRESS(56+14*(COLUMN()&gt;6)+(COLUMN()-2)/2,2,4,,"PSE"),1)</f>
        <v>Cs</v>
      </c>
      <c r="D29" s="64" t="str">
        <f ca="1">INDIRECT(ADDRESS(56+14*(COLUMN()&gt;6)+(COLUMN()-2)/2,8,4,,"PSE"),1)</f>
        <v>3,65 g/cm³</v>
      </c>
      <c r="E29" s="65" t="str">
        <f ca="1">INDIRECT(ADDRESS(56+14*(COLUMN()&gt;6)+(COLUMN()-2)/2,2,4,,"PSE"),1)</f>
        <v>Ba</v>
      </c>
      <c r="F29" s="68" t="s">
        <v>1249</v>
      </c>
      <c r="G29" s="64" t="str">
        <f ca="1">INDIRECT(ADDRESS(71+(COLUMN()-5)/2,8,4,,"PSE"),1)</f>
        <v>9,84 g/cm³</v>
      </c>
      <c r="H29" s="65" t="str">
        <f ca="1">INDIRECT(ADDRESS(71+(COLUMN()-5)/2,2,4,,"PSE"),1)</f>
        <v>Lu</v>
      </c>
      <c r="I29" s="64" t="str">
        <f ca="1">INDIRECT(ADDRESS(71+(COLUMN()-5)/2,8,4,,"PSE"),1)</f>
        <v>13,31 g/cm³</v>
      </c>
      <c r="J29" s="65" t="str">
        <f ca="1">INDIRECT(ADDRESS(71+(COLUMN()-5)/2,2,4,,"PSE"),1)</f>
        <v>Hf</v>
      </c>
      <c r="K29" s="64" t="str">
        <f ca="1">INDIRECT(ADDRESS(71+(COLUMN()-5)/2,8,4,,"PSE"),1)</f>
        <v>16,68 g/cm³</v>
      </c>
      <c r="L29" s="65" t="str">
        <f ca="1">INDIRECT(ADDRESS(71+(COLUMN()-5)/2,2,4,,"PSE"),1)</f>
        <v>Ta</v>
      </c>
      <c r="M29" s="64" t="str">
        <f ca="1">INDIRECT(ADDRESS(71+(COLUMN()-5)/2,8,4,,"PSE"),1)</f>
        <v>19,26 g/cm³</v>
      </c>
      <c r="N29" s="65" t="str">
        <f ca="1">INDIRECT(ADDRESS(71+(COLUMN()-5)/2,2,4,,"PSE"),1)</f>
        <v>W</v>
      </c>
      <c r="O29" s="64" t="str">
        <f ca="1">INDIRECT(ADDRESS(71+(COLUMN()-5)/2,8,4,,"PSE"),1)</f>
        <v>21,03 g/cm³</v>
      </c>
      <c r="P29" s="65" t="str">
        <f ca="1">INDIRECT(ADDRESS(71+(COLUMN()-5)/2,2,4,,"PSE"),1)</f>
        <v>Re</v>
      </c>
      <c r="Q29" s="64" t="str">
        <f ca="1">INDIRECT(ADDRESS(71+(COLUMN()-5)/2,8,4,,"PSE"),1)</f>
        <v>22,61 g/cm³</v>
      </c>
      <c r="R29" s="65" t="str">
        <f ca="1">INDIRECT(ADDRESS(71+(COLUMN()-5)/2,2,4,,"PSE"),1)</f>
        <v>Os</v>
      </c>
      <c r="S29" s="64" t="str">
        <f ca="1">INDIRECT(ADDRESS(71+(COLUMN()-5)/2,8,4,,"PSE"),1)</f>
        <v>22,65 g/cm³</v>
      </c>
      <c r="T29" s="65" t="str">
        <f ca="1">INDIRECT(ADDRESS(71+(COLUMN()-5)/2,2,4,,"PSE"),1)</f>
        <v>Ir</v>
      </c>
      <c r="U29" s="64" t="str">
        <f ca="1">INDIRECT(ADDRESS(71+(COLUMN()-5)/2,8,4,,"PSE"),1)</f>
        <v>21,45 g/cm³</v>
      </c>
      <c r="V29" s="65" t="str">
        <f ca="1">INDIRECT(ADDRESS(71+(COLUMN()-5)/2,2,4,,"PSE"),1)</f>
        <v>Pt</v>
      </c>
      <c r="W29" s="64" t="str">
        <f ca="1">INDIRECT(ADDRESS(71+(COLUMN()-5)/2,8,4,,"PSE"),1)</f>
        <v>19,32 g/cm³</v>
      </c>
      <c r="X29" s="65" t="str">
        <f ca="1">INDIRECT(ADDRESS(71+(COLUMN()-5)/2,2,4,,"PSE"),1)</f>
        <v>Au</v>
      </c>
      <c r="Y29" s="64" t="str">
        <f ca="1">INDIRECT(ADDRESS(71+(COLUMN()-5)/2,8,4,,"PSE"),1)</f>
        <v>13,55 g/cm³</v>
      </c>
      <c r="Z29" s="111" t="str">
        <f ca="1">INDIRECT(ADDRESS(71+(COLUMN()-5)/2,2,4,,"PSE"),1)</f>
        <v>Hg</v>
      </c>
      <c r="AA29" s="64" t="str">
        <f ca="1">INDIRECT(ADDRESS(71+(COLUMN()-5)/2,8,4,,"PSE"),1)</f>
        <v>11,85 g/cm³</v>
      </c>
      <c r="AB29" s="65" t="str">
        <f ca="1">INDIRECT(ADDRESS(71+(COLUMN()-5)/2,2,4,,"PSE"),1)</f>
        <v>Tl</v>
      </c>
      <c r="AC29" s="64" t="str">
        <f ca="1">INDIRECT(ADDRESS(71+(COLUMN()-5)/2,8,4,,"PSE"),1)</f>
        <v>11,34 g/cm³</v>
      </c>
      <c r="AD29" s="65" t="str">
        <f ca="1">INDIRECT(ADDRESS(71+(COLUMN()-5)/2,2,4,,"PSE"),1)</f>
        <v>Pb</v>
      </c>
      <c r="AE29" s="64" t="str">
        <f ca="1">INDIRECT(ADDRESS(71+(COLUMN()-5)/2,8,4,,"PSE"),1)</f>
        <v>9,80 g/cm³</v>
      </c>
      <c r="AF29" s="65" t="str">
        <f ca="1">INDIRECT(ADDRESS(71+(COLUMN()-5)/2,2,4,,"PSE"),1)</f>
        <v>Bi</v>
      </c>
      <c r="AG29" s="64" t="str">
        <f ca="1">INDIRECT(ADDRESS(71+(COLUMN()-5)/2,8,4,,"PSE"),1)</f>
        <v>9,20 g/cm³</v>
      </c>
      <c r="AH29" s="65" t="str">
        <f ca="1">INDIRECT(ADDRESS(71+(COLUMN()-5)/2,2,4,,"PSE"),1)</f>
        <v>Po</v>
      </c>
      <c r="AI29" s="70" t="str">
        <f ca="1">INDIRECT(ADDRESS(71+(COLUMN()-5)/2,8,4,,"PSE"),1)</f>
        <v>k.A.</v>
      </c>
      <c r="AJ29" s="133" t="str">
        <f ca="1">INDIRECT(ADDRESS(71+(COLUMN()-5)/2,2,4,,"PSE"),1)</f>
        <v>At</v>
      </c>
      <c r="AK29" s="122" t="str">
        <f ca="1">INDIRECT(ADDRESS(71+(COLUMN()-5)/2,8,4,,"PSE"),1)</f>
        <v>9,96 g/L</v>
      </c>
      <c r="AL29" s="123" t="str">
        <f ca="1">INDIRECT(ADDRESS(71+(COLUMN()-5)/2,2,4,,"PSE"),1)</f>
        <v>Rn</v>
      </c>
    </row>
    <row r="30" spans="1:38" ht="15" customHeight="1">
      <c r="A30" s="39"/>
      <c r="B30" s="198" t="str">
        <f ca="1">INDIRECT(ADDRESS(56+14*(COLUMN()&gt;6)+(COLUMN()-2)/2,3,4,,"PSE"),1)</f>
        <v>Caesium</v>
      </c>
      <c r="C30" s="199"/>
      <c r="D30" s="198" t="str">
        <f ca="1">INDIRECT(ADDRESS(56+14*(COLUMN()&gt;6)+(COLUMN()-2)/2,3,4,,"PSE"),1)</f>
        <v>Barium</v>
      </c>
      <c r="E30" s="199"/>
      <c r="F30" s="137"/>
      <c r="G30" s="198" t="str">
        <f ca="1">INDIRECT(ADDRESS(71+(COLUMN()-5)/2,3,4,,"PSE"),1)</f>
        <v>Lutetium</v>
      </c>
      <c r="H30" s="199"/>
      <c r="I30" s="198" t="str">
        <f ca="1">INDIRECT(ADDRESS(71+(COLUMN()-5)/2,3,4,,"PSE"),1)</f>
        <v>Hafnium</v>
      </c>
      <c r="J30" s="199"/>
      <c r="K30" s="198" t="str">
        <f ca="1">INDIRECT(ADDRESS(71+(COLUMN()-5)/2,3,4,,"PSE"),1)</f>
        <v>Tantal</v>
      </c>
      <c r="L30" s="199"/>
      <c r="M30" s="198" t="str">
        <f ca="1">INDIRECT(ADDRESS(71+(COLUMN()-5)/2,3,4,,"PSE"),1)</f>
        <v>Wolfram</v>
      </c>
      <c r="N30" s="199"/>
      <c r="O30" s="198" t="str">
        <f ca="1">INDIRECT(ADDRESS(71+(COLUMN()-5)/2,3,4,,"PSE"),1)</f>
        <v>Rhenium</v>
      </c>
      <c r="P30" s="199"/>
      <c r="Q30" s="198" t="str">
        <f ca="1">INDIRECT(ADDRESS(71+(COLUMN()-5)/2,3,4,,"PSE"),1)</f>
        <v>Osmium</v>
      </c>
      <c r="R30" s="199"/>
      <c r="S30" s="198" t="str">
        <f ca="1">INDIRECT(ADDRESS(71+(COLUMN()-5)/2,3,4,,"PSE"),1)</f>
        <v>Iridium</v>
      </c>
      <c r="T30" s="199"/>
      <c r="U30" s="198" t="str">
        <f ca="1">INDIRECT(ADDRESS(71+(COLUMN()-5)/2,3,4,,"PSE"),1)</f>
        <v>Platin</v>
      </c>
      <c r="V30" s="199"/>
      <c r="W30" s="198" t="str">
        <f ca="1">INDIRECT(ADDRESS(71+(COLUMN()-5)/2,3,4,,"PSE"),1)</f>
        <v>Gold</v>
      </c>
      <c r="X30" s="199"/>
      <c r="Y30" s="198" t="str">
        <f ca="1">INDIRECT(ADDRESS(71+(COLUMN()-5)/2,3,4,,"PSE"),1)</f>
        <v>Quecksilber</v>
      </c>
      <c r="Z30" s="199"/>
      <c r="AA30" s="198" t="str">
        <f ca="1">INDIRECT(ADDRESS(71+(COLUMN()-5)/2,3,4,,"PSE"),1)</f>
        <v>Thallium</v>
      </c>
      <c r="AB30" s="199"/>
      <c r="AC30" s="198" t="str">
        <f ca="1">INDIRECT(ADDRESS(71+(COLUMN()-5)/2,3,4,,"PSE"),1)</f>
        <v>Blei</v>
      </c>
      <c r="AD30" s="199"/>
      <c r="AE30" s="198" t="str">
        <f ca="1">INDIRECT(ADDRESS(71+(COLUMN()-5)/2,3,4,,"PSE"),1)</f>
        <v>Bismut</v>
      </c>
      <c r="AF30" s="199"/>
      <c r="AG30" s="198" t="str">
        <f ca="1">INDIRECT(ADDRESS(71+(COLUMN()-5)/2,3,4,,"PSE"),1)</f>
        <v>Polonium</v>
      </c>
      <c r="AH30" s="199"/>
      <c r="AI30" s="185" t="str">
        <f ca="1">INDIRECT(ADDRESS(71+(COLUMN()-5)/2,3,4,,"PSE"),1)</f>
        <v>Astat</v>
      </c>
      <c r="AJ30" s="186"/>
      <c r="AK30" s="183" t="str">
        <f ca="1">INDIRECT(ADDRESS(71+(COLUMN()-5)/2,3,4,,"PSE"),1)</f>
        <v>Radon</v>
      </c>
      <c r="AL30" s="184"/>
    </row>
    <row r="31" spans="1:38" ht="13.2" customHeight="1">
      <c r="A31" s="39"/>
      <c r="B31" s="20">
        <f ca="1">INDIRECT(ADDRESS(56+14*(COLUMN()&gt;6)+(COLUMN()-2)/2,5,4,,"PSE"),1)</f>
        <v>0.7</v>
      </c>
      <c r="C31" s="21" t="str">
        <f ca="1">INDIRECT(ADDRESS(56+14*(COLUMN()&gt;6)+(COLUMN()-2)/2,6,4,,"PSE"),1)</f>
        <v>690 °C</v>
      </c>
      <c r="D31" s="7">
        <f ca="1">INDIRECT(ADDRESS(56+14*(COLUMN()&gt;6)+(COLUMN()-2)/2,5,4,,"PSE"),1)</f>
        <v>0.9</v>
      </c>
      <c r="E31" s="21" t="str">
        <f ca="1">INDIRECT(ADDRESS(56+14*(COLUMN()&gt;6)+(COLUMN()-2)/2,6,4,,"PSE"),1)</f>
        <v>1640 °C</v>
      </c>
      <c r="F31" s="137"/>
      <c r="G31" s="20">
        <f ca="1">INDIRECT(ADDRESS(71+(COLUMN()-5)/2,5,4,,"PSE"),1)</f>
        <v>1.3</v>
      </c>
      <c r="H31" s="21" t="str">
        <f ca="1">INDIRECT(ADDRESS(71+(COLUMN()-5)/2,6,4,,"PSE"),1)</f>
        <v>3330 °C</v>
      </c>
      <c r="I31" s="20">
        <f ca="1">INDIRECT(ADDRESS(71+(COLUMN()-5)/2,5,4,,"PSE"),1)</f>
        <v>1.3</v>
      </c>
      <c r="J31" s="21" t="str">
        <f ca="1">INDIRECT(ADDRESS(71+(COLUMN()-5)/2,6,4,,"PSE"),1)</f>
        <v>5400 °C</v>
      </c>
      <c r="K31" s="20">
        <f ca="1">INDIRECT(ADDRESS(71+(COLUMN()-5)/2,5,4,,"PSE"),1)</f>
        <v>1.5</v>
      </c>
      <c r="L31" s="21" t="str">
        <f ca="1">INDIRECT(ADDRESS(71+(COLUMN()-5)/2,6,4,,"PSE"),1)</f>
        <v>5430 °C</v>
      </c>
      <c r="M31" s="20">
        <f ca="1">INDIRECT(ADDRESS(71+(COLUMN()-5)/2,5,4,,"PSE"),1)</f>
        <v>1.7</v>
      </c>
      <c r="N31" s="21" t="str">
        <f ca="1">INDIRECT(ADDRESS(71+(COLUMN()-5)/2,6,4,,"PSE"),1)</f>
        <v>5930 °C</v>
      </c>
      <c r="O31" s="20">
        <f ca="1">INDIRECT(ADDRESS(71+(COLUMN()-5)/2,5,4,,"PSE"),1)</f>
        <v>1.9</v>
      </c>
      <c r="P31" s="21" t="str">
        <f ca="1">INDIRECT(ADDRESS(71+(COLUMN()-5)/2,6,4,,"PSE"),1)</f>
        <v>5630 °C</v>
      </c>
      <c r="Q31" s="20">
        <f ca="1">INDIRECT(ADDRESS(71+(COLUMN()-5)/2,5,4,,"PSE"),1)</f>
        <v>2.2000000000000002</v>
      </c>
      <c r="R31" s="21" t="str">
        <f ca="1">INDIRECT(ADDRESS(71+(COLUMN()-5)/2,6,4,,"PSE"),1)</f>
        <v>5500 °C</v>
      </c>
      <c r="S31" s="20">
        <f ca="1">INDIRECT(ADDRESS(71+(COLUMN()-5)/2,5,4,,"PSE"),1)</f>
        <v>2.2000000000000002</v>
      </c>
      <c r="T31" s="21" t="str">
        <f ca="1">INDIRECT(ADDRESS(71+(COLUMN()-5)/2,6,4,,"PSE"),1)</f>
        <v>4500 °C</v>
      </c>
      <c r="U31" s="20">
        <f ca="1">INDIRECT(ADDRESS(71+(COLUMN()-5)/2,5,4,,"PSE"),1)</f>
        <v>2.2000000000000002</v>
      </c>
      <c r="V31" s="21" t="str">
        <f ca="1">INDIRECT(ADDRESS(71+(COLUMN()-5)/2,6,4,,"PSE"),1)</f>
        <v>3825 °C</v>
      </c>
      <c r="W31" s="20">
        <f ca="1">INDIRECT(ADDRESS(71+(COLUMN()-5)/2,5,4,,"PSE"),1)</f>
        <v>2.4</v>
      </c>
      <c r="X31" s="21" t="str">
        <f ca="1">INDIRECT(ADDRESS(71+(COLUMN()-5)/2,6,4,,"PSE"),1)</f>
        <v>2970 °C</v>
      </c>
      <c r="Y31" s="20">
        <f ca="1">INDIRECT(ADDRESS(71+(COLUMN()-5)/2,5,4,,"PSE"),1)</f>
        <v>1.9</v>
      </c>
      <c r="Z31" s="21" t="str">
        <f ca="1">INDIRECT(ADDRESS(71+(COLUMN()-5)/2,6,4,,"PSE"),1)</f>
        <v>357 °C</v>
      </c>
      <c r="AA31" s="20">
        <f ca="1">INDIRECT(ADDRESS(71+(COLUMN()-5)/2,5,4,,"PSE"),1)</f>
        <v>1.8</v>
      </c>
      <c r="AB31" s="21" t="str">
        <f ca="1">INDIRECT(ADDRESS(71+(COLUMN()-5)/2,6,4,,"PSE"),1)</f>
        <v>1460 °C</v>
      </c>
      <c r="AC31" s="20">
        <f ca="1">INDIRECT(ADDRESS(71+(COLUMN()-5)/2,5,4,,"PSE"),1)</f>
        <v>1.8</v>
      </c>
      <c r="AD31" s="21" t="str">
        <f ca="1">INDIRECT(ADDRESS(71+(COLUMN()-5)/2,6,4,,"PSE"),1)</f>
        <v>1740 °C</v>
      </c>
      <c r="AE31" s="20">
        <f ca="1">INDIRECT(ADDRESS(71+(COLUMN()-5)/2,5,4,,"PSE"),1)</f>
        <v>1.9</v>
      </c>
      <c r="AF31" s="21" t="str">
        <f ca="1">INDIRECT(ADDRESS(71+(COLUMN()-5)/2,6,4,,"PSE"),1)</f>
        <v>1560 °C</v>
      </c>
      <c r="AG31" s="20">
        <f ca="1">INDIRECT(ADDRESS(71+(COLUMN()-5)/2,5,4,,"PSE"),1)</f>
        <v>2</v>
      </c>
      <c r="AH31" s="21" t="str">
        <f ca="1">INDIRECT(ADDRESS(71+(COLUMN()-5)/2,6,4,,"PSE"),1)</f>
        <v>962 °C</v>
      </c>
      <c r="AI31" s="35">
        <f ca="1">INDIRECT(ADDRESS(71+(COLUMN()-5)/2,5,4,,"PSE"),1)</f>
        <v>2.2000000000000002</v>
      </c>
      <c r="AJ31" s="36" t="str">
        <f ca="1">INDIRECT(ADDRESS(71+(COLUMN()-5)/2,6,4,,"PSE"),1)</f>
        <v>335 °C</v>
      </c>
      <c r="AK31" s="124">
        <f ca="1">INDIRECT(ADDRESS(71+(COLUMN()-5)/2,5,4,,"PSE"),1)</f>
        <v>0</v>
      </c>
      <c r="AL31" s="125" t="str">
        <f ca="1">INDIRECT(ADDRESS(71+(COLUMN()-5)/2,6,4,,"PSE"),1)</f>
        <v>-62 °C</v>
      </c>
    </row>
    <row r="32" spans="1:38" ht="11.25" customHeight="1">
      <c r="A32" s="39"/>
      <c r="B32" s="23">
        <f ca="1">INDIRECT(ADDRESS(56+14*(COLUMN()&gt;6)+(COLUMN()-2)/2,13,4,,"PSE"),1)</f>
        <v>265.5</v>
      </c>
      <c r="C32" s="22" t="str">
        <f ca="1">INDIRECT(ADDRESS(56+14*(COLUMN()&gt;6)+(COLUMN()-2)/2,7,4,,"PSE"),1)</f>
        <v>29 °C</v>
      </c>
      <c r="D32" s="25">
        <f ca="1">INDIRECT(ADDRESS(56+14*(COLUMN()&gt;6)+(COLUMN()-2)/2,13,4,,"PSE"),1)</f>
        <v>217.3</v>
      </c>
      <c r="E32" s="22" t="str">
        <f ca="1">INDIRECT(ADDRESS(56+14*(COLUMN()&gt;6)+(COLUMN()-2)/2,7,4,,"PSE"),1)</f>
        <v>714 °C</v>
      </c>
      <c r="F32" s="138"/>
      <c r="G32" s="25">
        <f ca="1">INDIRECT(ADDRESS(71+(COLUMN()-5)/2,13,4,,"PSE"),1)</f>
        <v>173.4</v>
      </c>
      <c r="H32" s="22" t="str">
        <f ca="1">INDIRECT(ADDRESS(71+(COLUMN()-5)/2,7,4,,"PSE"),1)</f>
        <v>1650 °C</v>
      </c>
      <c r="I32" s="25">
        <f ca="1">INDIRECT(ADDRESS(71+(COLUMN()-5)/2,13,4,,"PSE"),1)</f>
        <v>156.4</v>
      </c>
      <c r="J32" s="22" t="str">
        <f ca="1">INDIRECT(ADDRESS(71+(COLUMN()-5)/2,7,4,,"PSE"),1)</f>
        <v>2000 °C</v>
      </c>
      <c r="K32" s="25">
        <f ca="1">INDIRECT(ADDRESS(71+(COLUMN()-5)/2,13,4,,"PSE"),1)</f>
        <v>143</v>
      </c>
      <c r="L32" s="22" t="str">
        <f ca="1">INDIRECT(ADDRESS(71+(COLUMN()-5)/2,7,4,,"PSE"),1)</f>
        <v>3000 °C</v>
      </c>
      <c r="M32" s="25">
        <f ca="1">INDIRECT(ADDRESS(71+(COLUMN()-5)/2,13,4,,"PSE"),1)</f>
        <v>137</v>
      </c>
      <c r="N32" s="22" t="str">
        <f ca="1">INDIRECT(ADDRESS(71+(COLUMN()-5)/2,7,4,,"PSE"),1)</f>
        <v>3410 °C</v>
      </c>
      <c r="O32" s="25">
        <f ca="1">INDIRECT(ADDRESS(71+(COLUMN()-5)/2,13,4,,"PSE"),1)</f>
        <v>137</v>
      </c>
      <c r="P32" s="22" t="str">
        <f ca="1">INDIRECT(ADDRESS(71+(COLUMN()-5)/2,7,4,,"PSE"),1)</f>
        <v>3180 °C</v>
      </c>
      <c r="Q32" s="25">
        <f ca="1">INDIRECT(ADDRESS(71+(COLUMN()-5)/2,13,4,,"PSE"),1)</f>
        <v>135</v>
      </c>
      <c r="R32" s="22" t="str">
        <f ca="1">INDIRECT(ADDRESS(71+(COLUMN()-5)/2,7,4,,"PSE"),1)</f>
        <v>3000 °C</v>
      </c>
      <c r="S32" s="25">
        <f ca="1">INDIRECT(ADDRESS(71+(COLUMN()-5)/2,13,4,,"PSE"),1)</f>
        <v>135.69999999999999</v>
      </c>
      <c r="T32" s="22" t="str">
        <f ca="1">INDIRECT(ADDRESS(71+(COLUMN()-5)/2,7,4,,"PSE"),1)</f>
        <v>2450 °C</v>
      </c>
      <c r="U32" s="25">
        <f ca="1">INDIRECT(ADDRESS(71+(COLUMN()-5)/2,13,4,,"PSE"),1)</f>
        <v>138</v>
      </c>
      <c r="V32" s="22" t="str">
        <f ca="1">INDIRECT(ADDRESS(71+(COLUMN()-5)/2,7,4,,"PSE"),1)</f>
        <v>1770 °C</v>
      </c>
      <c r="W32" s="25">
        <f ca="1">INDIRECT(ADDRESS(71+(COLUMN()-5)/2,13,4,,"PSE"),1)</f>
        <v>144.19999999999999</v>
      </c>
      <c r="X32" s="22" t="str">
        <f ca="1">INDIRECT(ADDRESS(71+(COLUMN()-5)/2,7,4,,"PSE"),1)</f>
        <v>1063 °C</v>
      </c>
      <c r="Y32" s="25">
        <f ca="1">INDIRECT(ADDRESS(71+(COLUMN()-5)/2,13,4,,"PSE"),1)</f>
        <v>160</v>
      </c>
      <c r="Z32" s="22" t="str">
        <f ca="1">INDIRECT(ADDRESS(71+(COLUMN()-5)/2,7,4,,"PSE"),1)</f>
        <v>-39 °C</v>
      </c>
      <c r="AA32" s="25">
        <f ca="1">INDIRECT(ADDRESS(71+(COLUMN()-5)/2,13,4,,"PSE"),1)</f>
        <v>170.4</v>
      </c>
      <c r="AB32" s="22" t="str">
        <f ca="1">INDIRECT(ADDRESS(71+(COLUMN()-5)/2,7,4,,"PSE"),1)</f>
        <v>303 °C</v>
      </c>
      <c r="AC32" s="25">
        <f ca="1">INDIRECT(ADDRESS(71+(COLUMN()-5)/2,13,4,,"PSE"),1)</f>
        <v>175</v>
      </c>
      <c r="AD32" s="22" t="str">
        <f ca="1">INDIRECT(ADDRESS(71+(COLUMN()-5)/2,7,4,,"PSE"),1)</f>
        <v>327 °C</v>
      </c>
      <c r="AE32" s="25">
        <f ca="1">INDIRECT(ADDRESS(71+(COLUMN()-5)/2,13,4,,"PSE"),1)</f>
        <v>155</v>
      </c>
      <c r="AF32" s="22" t="str">
        <f ca="1">INDIRECT(ADDRESS(71+(COLUMN()-5)/2,7,4,,"PSE"),1)</f>
        <v>271 °C</v>
      </c>
      <c r="AG32" s="25">
        <f ca="1">INDIRECT(ADDRESS(71+(COLUMN()-5)/2,13,4,,"PSE"),1)</f>
        <v>167.5</v>
      </c>
      <c r="AH32" s="22" t="str">
        <f ca="1">INDIRECT(ADDRESS(71+(COLUMN()-5)/2,7,4,,"PSE"),1)</f>
        <v>254 °C</v>
      </c>
      <c r="AI32" s="134">
        <f ca="1">INDIRECT(ADDRESS(71+(COLUMN()-5)/2,13,4,,"PSE"),1)</f>
        <v>121</v>
      </c>
      <c r="AJ32" s="37" t="str">
        <f ca="1">INDIRECT(ADDRESS(71+(COLUMN()-5)/2,7,4,,"PSE"),1)</f>
        <v>302 °C</v>
      </c>
      <c r="AK32" s="126" t="str">
        <f ca="1">INDIRECT(ADDRESS(71+(COLUMN()-5)/2,13,4,,"PSE"),1)</f>
        <v>-</v>
      </c>
      <c r="AL32" s="127" t="str">
        <f ca="1">INDIRECT(ADDRESS(71+(COLUMN()-5)/2,7,4,,"PSE"),1)</f>
        <v>-71 °C</v>
      </c>
    </row>
    <row r="33" spans="1:58" ht="18" customHeight="1">
      <c r="A33" s="39"/>
      <c r="B33" s="16">
        <f ca="1">INDIRECT(ADDRESS(88+14*(COLUMN()&gt;6)+(COLUMN()-2)/2,1,4,,"PSE"),1)</f>
        <v>87</v>
      </c>
      <c r="C33" s="49">
        <f ca="1">INDIRECT(ADDRESS(88+14*(COLUMN()&gt;6)+(COLUMN()-2)/2,4,4,,"PSE"),1)</f>
        <v>223</v>
      </c>
      <c r="D33" s="6">
        <f ca="1">INDIRECT(ADDRESS(88+14*(COLUMN()&gt;6)+(COLUMN()-2)/2,1,4,,"PSE"),1)</f>
        <v>88</v>
      </c>
      <c r="E33" s="49">
        <f ca="1">INDIRECT(ADDRESS(88+14*(COLUMN()&gt;6)+(COLUMN()-2)/2,4,4,,"PSE"),1)</f>
        <v>226</v>
      </c>
      <c r="F33" s="136" t="s">
        <v>1000</v>
      </c>
      <c r="G33" s="24">
        <f ca="1">INDIRECT(ADDRESS(103+(COLUMN()-5)/2,1,4,,"PSE"),1)</f>
        <v>103</v>
      </c>
      <c r="H33" s="49">
        <f ca="1">INDIRECT(ADDRESS(103+(COLUMN()-5)/2,4,4,,"PSE"),1)</f>
        <v>260</v>
      </c>
      <c r="I33" s="24">
        <f ca="1">INDIRECT(ADDRESS(103+(COLUMN()-5)/2,1,4,,"PSE"),1)</f>
        <v>104</v>
      </c>
      <c r="J33" s="49">
        <f ca="1">INDIRECT(ADDRESS(103+(COLUMN()-5)/2,4,4,,"PSE"),1)</f>
        <v>261</v>
      </c>
      <c r="K33" s="24">
        <f ca="1">INDIRECT(ADDRESS(103+(COLUMN()-5)/2,1,4,,"PSE"),1)</f>
        <v>105</v>
      </c>
      <c r="L33" s="49">
        <f ca="1">INDIRECT(ADDRESS(103+(COLUMN()-5)/2,4,4,,"PSE"),1)</f>
        <v>262</v>
      </c>
      <c r="M33" s="24">
        <f ca="1">INDIRECT(ADDRESS(103+(COLUMN()-5)/2,1,4,,"PSE"),1)</f>
        <v>106</v>
      </c>
      <c r="N33" s="49">
        <f ca="1">INDIRECT(ADDRESS(103+(COLUMN()-5)/2,4,4,,"PSE"),1)</f>
        <v>263</v>
      </c>
      <c r="O33" s="24">
        <f ca="1">INDIRECT(ADDRESS(103+(COLUMN()-5)/2,1,4,,"PSE"),1)</f>
        <v>107</v>
      </c>
      <c r="P33" s="49">
        <f ca="1">INDIRECT(ADDRESS(103+(COLUMN()-5)/2,4,4,,"PSE"),1)</f>
        <v>264</v>
      </c>
      <c r="Q33" s="24">
        <f ca="1">INDIRECT(ADDRESS(103+(COLUMN()-5)/2,1,4,,"PSE"),1)</f>
        <v>108</v>
      </c>
      <c r="R33" s="49">
        <f ca="1">INDIRECT(ADDRESS(103+(COLUMN()-5)/2,4,4,,"PSE"),1)</f>
        <v>265</v>
      </c>
      <c r="S33" s="24">
        <f ca="1">INDIRECT(ADDRESS(103+(COLUMN()-5)/2,1,4,,"PSE"),1)</f>
        <v>109</v>
      </c>
      <c r="T33" s="49">
        <f ca="1">INDIRECT(ADDRESS(103+(COLUMN()-5)/2,4,4,,"PSE"),1)</f>
        <v>266</v>
      </c>
      <c r="U33" s="24">
        <f ca="1">INDIRECT(ADDRESS(103+(COLUMN()-5)/2,1,4,,"PSE"),1)</f>
        <v>110</v>
      </c>
      <c r="V33" s="49">
        <f ca="1">INDIRECT(ADDRESS(103+(COLUMN()-5)/2,4,4,,"PSE"),1)</f>
        <v>282</v>
      </c>
      <c r="W33" s="24">
        <f t="shared" ref="W33:AK33" ca="1" si="21">INDIRECT(ADDRESS(103+(COLUMN()-5)/2,1,4,,"PSE"),1)</f>
        <v>111</v>
      </c>
      <c r="X33" s="49">
        <f ca="1">INDIRECT(ADDRESS(103+(COLUMN()-5)/2,4,4,,"PSE"),1)</f>
        <v>280</v>
      </c>
      <c r="Y33" s="24">
        <f t="shared" ca="1" si="21"/>
        <v>112</v>
      </c>
      <c r="Z33" s="49">
        <f ca="1">INDIRECT(ADDRESS(103+(COLUMN()-5)/2,4,4,,"PSE"),1)</f>
        <v>285</v>
      </c>
      <c r="AA33" s="40">
        <f t="shared" ca="1" si="21"/>
        <v>113</v>
      </c>
      <c r="AB33" s="41"/>
      <c r="AC33" s="40">
        <f t="shared" ca="1" si="21"/>
        <v>114</v>
      </c>
      <c r="AD33" s="162">
        <f ca="1">INDIRECT(ADDRESS(103+(COLUMN()-5)/2,4,4,,"PSE"),1)</f>
        <v>289</v>
      </c>
      <c r="AE33" s="40">
        <f t="shared" ca="1" si="21"/>
        <v>115</v>
      </c>
      <c r="AF33" s="41"/>
      <c r="AG33" s="40">
        <f t="shared" ca="1" si="21"/>
        <v>116</v>
      </c>
      <c r="AH33" s="162">
        <f ca="1">INDIRECT(ADDRESS(103+(COLUMN()-5)/2,4,4,,"PSE"),1)</f>
        <v>293</v>
      </c>
      <c r="AI33" s="40">
        <f t="shared" ca="1" si="21"/>
        <v>117</v>
      </c>
      <c r="AJ33" s="41"/>
      <c r="AK33" s="40">
        <f t="shared" ca="1" si="21"/>
        <v>118</v>
      </c>
      <c r="AL33" s="41"/>
      <c r="AM33" s="11"/>
      <c r="AN33" s="12"/>
      <c r="AO33" s="11"/>
      <c r="AP33" s="12"/>
      <c r="AQ33" s="11"/>
      <c r="AR33" s="12"/>
      <c r="AS33" s="11"/>
      <c r="AT33" s="12"/>
      <c r="AU33" s="11"/>
      <c r="AV33" s="12"/>
      <c r="AW33" s="11"/>
      <c r="AX33" s="12"/>
      <c r="AY33" s="11"/>
      <c r="AZ33" s="12"/>
      <c r="BA33" s="11"/>
      <c r="BB33" s="12"/>
      <c r="BC33" s="11"/>
      <c r="BD33" s="12"/>
      <c r="BE33" s="11"/>
      <c r="BF33" s="12"/>
    </row>
    <row r="34" spans="1:58" s="63" customFormat="1" ht="30" customHeight="1">
      <c r="A34" s="68" t="s">
        <v>708</v>
      </c>
      <c r="B34" s="64" t="str">
        <f ca="1">INDIRECT(ADDRESS(88+14*(COLUMN()&gt;6)+(COLUMN()-2)/2,8,4,,"PSE"),1)</f>
        <v>1,87 g/cm³</v>
      </c>
      <c r="C34" s="69" t="str">
        <f ca="1">INDIRECT(ADDRESS(88+14*(COLUMN()&gt;6)+(COLUMN()-2)/2,2,4,,"PSE"),1)</f>
        <v>Fr</v>
      </c>
      <c r="D34" s="64" t="str">
        <f ca="1">INDIRECT(ADDRESS(88+14*(COLUMN()&gt;6)+(COLUMN()-2)/2,8,4,,"PSE"),1)</f>
        <v>5,50 g/cm³</v>
      </c>
      <c r="E34" s="69" t="str">
        <f ca="1">INDIRECT(ADDRESS(88+14*(COLUMN()&gt;6)+(COLUMN()-2)/2,2,4,,"PSE"),1)</f>
        <v>Ra</v>
      </c>
      <c r="F34" s="68" t="s">
        <v>1250</v>
      </c>
      <c r="G34" s="64" t="str">
        <f ca="1">INDIRECT(ADDRESS(103+(COLUMN()-5)/2,8,4,,"PSE"),1)</f>
        <v xml:space="preserve"> </v>
      </c>
      <c r="H34" s="69" t="str">
        <f ca="1">INDIRECT(ADDRESS(103+(COLUMN()-5)/2,2,4,,"PSE"),1)</f>
        <v>Lr</v>
      </c>
      <c r="I34" s="64" t="str">
        <f ca="1">INDIRECT(ADDRESS(103+(COLUMN()-5)/2,8,4,,"PSE"),1)</f>
        <v xml:space="preserve"> </v>
      </c>
      <c r="J34" s="69" t="str">
        <f ca="1">INDIRECT(ADDRESS(103+(COLUMN()-5)/2,2,4,,"PSE"),1)</f>
        <v>Rf</v>
      </c>
      <c r="K34" s="64" t="str">
        <f ca="1">INDIRECT(ADDRESS(103+(COLUMN()-5)/2,8,4,,"PSE"),1)</f>
        <v xml:space="preserve"> </v>
      </c>
      <c r="L34" s="69" t="str">
        <f ca="1">INDIRECT(ADDRESS(103+(COLUMN()-5)/2,2,4,,"PSE"),1)</f>
        <v>Db</v>
      </c>
      <c r="M34" s="64" t="str">
        <f ca="1">INDIRECT(ADDRESS(103+(COLUMN()-5)/2,8,4,,"PSE"),1)</f>
        <v xml:space="preserve"> </v>
      </c>
      <c r="N34" s="69" t="str">
        <f ca="1">INDIRECT(ADDRESS(103+(COLUMN()-5)/2,2,4,,"PSE"),1)</f>
        <v>Sg</v>
      </c>
      <c r="O34" s="64" t="str">
        <f ca="1">INDIRECT(ADDRESS(103+(COLUMN()-5)/2,8,4,,"PSE"),1)</f>
        <v xml:space="preserve"> </v>
      </c>
      <c r="P34" s="65" t="str">
        <f ca="1">INDIRECT(ADDRESS(103+(COLUMN()-5)/2,2,4,,"PSE"),1)</f>
        <v>Bh</v>
      </c>
      <c r="Q34" s="64" t="str">
        <f ca="1">INDIRECT(ADDRESS(103+(COLUMN()-5)/2,8,4,,"PSE"),1)</f>
        <v xml:space="preserve"> </v>
      </c>
      <c r="R34" s="65" t="str">
        <f ca="1">INDIRECT(ADDRESS(103+(COLUMN()-5)/2,2,4,,"PSE"),1)</f>
        <v>Hs</v>
      </c>
      <c r="S34" s="64" t="str">
        <f ca="1">INDIRECT(ADDRESS(103+(COLUMN()-5)/2,8,4,,"PSE"),1)</f>
        <v xml:space="preserve"> </v>
      </c>
      <c r="T34" s="65" t="str">
        <f ca="1">INDIRECT(ADDRESS(103+(COLUMN()-5)/2,2,4,,"PSE"),1)</f>
        <v>Mt</v>
      </c>
      <c r="U34" s="64" t="str">
        <f ca="1">INDIRECT(ADDRESS(103+(COLUMN()-5)/2,8,4,,"PSE"),1)</f>
        <v xml:space="preserve"> </v>
      </c>
      <c r="V34" s="65" t="str">
        <f ca="1">INDIRECT(ADDRESS(103+(COLUMN()-5)/2,2,4,,"PSE"),1)</f>
        <v>Ds</v>
      </c>
      <c r="W34" s="64" t="str">
        <f ca="1">INDIRECT(ADDRESS(103+(COLUMN()-5)/2,8,4,,"PSE"),1)</f>
        <v xml:space="preserve"> </v>
      </c>
      <c r="X34" s="65" t="str">
        <f ca="1">INDIRECT(ADDRESS(103+(COLUMN()-5)/2,2,4,,"PSE"),1)</f>
        <v>Rg</v>
      </c>
      <c r="Y34" s="64"/>
      <c r="Z34" s="65" t="str">
        <f ca="1">INDIRECT(ADDRESS(103+(COLUMN()-5)/2,2,4,,"PSE"),1)</f>
        <v>Cn</v>
      </c>
      <c r="AA34" s="227" t="str">
        <f ca="1">INDIRECT(ADDRESS(88+14*(COLUMN()&gt;6)+(COLUMN()-2)/2,2,4,,"PSE"),1)</f>
        <v>Uut</v>
      </c>
      <c r="AB34" s="228"/>
      <c r="AC34" s="227" t="str">
        <f ca="1">INDIRECT(ADDRESS(88+14*(COLUMN()&gt;6)+(COLUMN()-2)/2,2,4,,"PSE"),1)</f>
        <v>Fl</v>
      </c>
      <c r="AD34" s="228"/>
      <c r="AE34" s="227" t="str">
        <f ca="1">INDIRECT(ADDRESS(88+14*(COLUMN()&gt;6)+(COLUMN()-2)/2,2,4,,"PSE"),1)</f>
        <v>Uup</v>
      </c>
      <c r="AF34" s="228"/>
      <c r="AG34" s="227" t="str">
        <f ca="1">INDIRECT(ADDRESS(88+14*(COLUMN()&gt;6)+(COLUMN()-2)/2,2,4,,"PSE"),1)</f>
        <v>Lv</v>
      </c>
      <c r="AH34" s="228"/>
      <c r="AI34" s="227" t="str">
        <f ca="1">INDIRECT(ADDRESS(88+14*(COLUMN()&gt;6)+(COLUMN()-2)/2,2,4,,"PSE"),1)</f>
        <v>Uus</v>
      </c>
      <c r="AJ34" s="228"/>
      <c r="AK34" s="227" t="str">
        <f ca="1">INDIRECT(ADDRESS(88+14*(COLUMN()&gt;6)+(COLUMN()-2)/2,2,4,,"PSE"),1)</f>
        <v>Uuo</v>
      </c>
      <c r="AL34" s="228"/>
      <c r="AM34" s="66"/>
      <c r="AN34" s="67"/>
      <c r="AO34" s="66"/>
      <c r="AP34" s="67"/>
      <c r="AQ34" s="66"/>
      <c r="AR34" s="67"/>
      <c r="AS34" s="66"/>
      <c r="AT34" s="67"/>
      <c r="AU34" s="66"/>
      <c r="AV34" s="67"/>
      <c r="AW34" s="66"/>
      <c r="AX34" s="67"/>
      <c r="AY34" s="66"/>
      <c r="AZ34" s="67"/>
      <c r="BA34" s="66"/>
      <c r="BB34" s="67"/>
      <c r="BC34" s="66"/>
      <c r="BD34" s="67"/>
      <c r="BE34" s="66"/>
      <c r="BF34" s="67"/>
    </row>
    <row r="35" spans="1:58" ht="15" customHeight="1">
      <c r="B35" s="198" t="str">
        <f ca="1">INDIRECT(ADDRESS(88+14*(COLUMN()&gt;6)+(COLUMN()-2)/2,3,4,,"PSE"),1)</f>
        <v>Francium</v>
      </c>
      <c r="C35" s="199"/>
      <c r="D35" s="198" t="str">
        <f ca="1">INDIRECT(ADDRESS(88+14*(COLUMN()&gt;6)+(COLUMN()-2)/2,3,4,,"PSE"),1)</f>
        <v>Radium</v>
      </c>
      <c r="E35" s="199"/>
      <c r="F35" s="137"/>
      <c r="G35" s="198" t="str">
        <f ca="1">INDIRECT(ADDRESS(103+(COLUMN()-5)/2,3,4,,"PSE"),1)</f>
        <v>Lawrencium</v>
      </c>
      <c r="H35" s="199"/>
      <c r="I35" s="198" t="str">
        <f ca="1">INDIRECT(ADDRESS(103+(COLUMN()-5)/2,3,4,,"PSE"),1)</f>
        <v>Rutherfordium</v>
      </c>
      <c r="J35" s="199"/>
      <c r="K35" s="198" t="str">
        <f ca="1">INDIRECT(ADDRESS(103+(COLUMN()-5)/2,3,4,,"PSE"),1)</f>
        <v>Dubnium</v>
      </c>
      <c r="L35" s="199"/>
      <c r="M35" s="198" t="str">
        <f ca="1">INDIRECT(ADDRESS(103+(COLUMN()-5)/2,3,4,,"PSE"),1)</f>
        <v>Seaborgium</v>
      </c>
      <c r="N35" s="199"/>
      <c r="O35" s="198" t="str">
        <f ca="1">INDIRECT(ADDRESS(103+(COLUMN()-5)/2,3,4,,"PSE"),1)</f>
        <v>Bohrium</v>
      </c>
      <c r="P35" s="199"/>
      <c r="Q35" s="198" t="str">
        <f ca="1">INDIRECT(ADDRESS(103+(COLUMN()-5)/2,3,4,,"PSE"),1)</f>
        <v>Hassium</v>
      </c>
      <c r="R35" s="199"/>
      <c r="S35" s="198" t="str">
        <f ca="1">INDIRECT(ADDRESS(103+(COLUMN()-5)/2,3,4,,"PSE"),1)</f>
        <v>Meitnerium</v>
      </c>
      <c r="T35" s="199"/>
      <c r="U35" s="198" t="str">
        <f ca="1">INDIRECT(ADDRESS(103+(COLUMN()-5)/2,3,4,,"PSE"),1)</f>
        <v>Darmstadtium</v>
      </c>
      <c r="V35" s="199"/>
      <c r="W35" s="198" t="str">
        <f t="shared" ref="W35:AK35" ca="1" si="22">INDIRECT(ADDRESS(103+(COLUMN()-5)/2,3,4,,"PSE"),1)</f>
        <v>Roentgenium</v>
      </c>
      <c r="X35" s="199"/>
      <c r="Y35" s="198" t="str">
        <f t="shared" ca="1" si="22"/>
        <v>Copernicium</v>
      </c>
      <c r="Z35" s="199"/>
      <c r="AA35" s="225" t="str">
        <f t="shared" ca="1" si="22"/>
        <v xml:space="preserve">Ununtrium </v>
      </c>
      <c r="AB35" s="226"/>
      <c r="AC35" s="225" t="str">
        <f t="shared" ca="1" si="22"/>
        <v>Flerovium</v>
      </c>
      <c r="AD35" s="226"/>
      <c r="AE35" s="225" t="str">
        <f t="shared" ca="1" si="22"/>
        <v>Ununpentium</v>
      </c>
      <c r="AF35" s="226"/>
      <c r="AG35" s="225" t="str">
        <f t="shared" ca="1" si="22"/>
        <v>Livermorium</v>
      </c>
      <c r="AH35" s="226"/>
      <c r="AI35" s="225" t="str">
        <f t="shared" ca="1" si="22"/>
        <v>Ununseptium</v>
      </c>
      <c r="AJ35" s="226"/>
      <c r="AK35" s="225" t="str">
        <f t="shared" ca="1" si="22"/>
        <v>Ununoctium</v>
      </c>
      <c r="AL35" s="226"/>
      <c r="AM35" s="9"/>
      <c r="AN35" s="14"/>
      <c r="AO35" s="9"/>
      <c r="AP35" s="14"/>
      <c r="AQ35" s="9"/>
      <c r="AR35" s="14"/>
      <c r="AS35" s="9"/>
      <c r="AT35" s="14"/>
      <c r="AU35" s="9"/>
      <c r="AV35" s="14"/>
      <c r="AW35" s="9"/>
      <c r="AX35" s="14"/>
      <c r="AY35" s="9"/>
      <c r="AZ35" s="14"/>
      <c r="BA35" s="9"/>
      <c r="BB35" s="14"/>
      <c r="BC35" s="9"/>
      <c r="BD35" s="14"/>
      <c r="BE35" s="9"/>
      <c r="BF35" s="14"/>
    </row>
    <row r="36" spans="1:58" ht="12.75" customHeight="1">
      <c r="B36" s="20">
        <f ca="1">INDIRECT(ADDRESS(88+14*(COLUMN()&gt;6)+(COLUMN()-2)/2,5,4,,"PSE"),1)</f>
        <v>0.7</v>
      </c>
      <c r="C36" s="21" t="str">
        <f ca="1">INDIRECT(ADDRESS(88+14*(COLUMN()&gt;6)+(COLUMN()-2)/2,6,4,,"PSE"),1)</f>
        <v>680 °C</v>
      </c>
      <c r="D36" s="7">
        <f ca="1">INDIRECT(ADDRESS(88+14*(COLUMN()&gt;6)+(COLUMN()-2)/2,5,4,,"PSE"),1)</f>
        <v>0.9</v>
      </c>
      <c r="E36" s="21" t="str">
        <f ca="1">INDIRECT(ADDRESS(88+14*(COLUMN()&gt;6)+(COLUMN()-2)/2,6,4,,"PSE"),1)</f>
        <v>1530 °C</v>
      </c>
      <c r="F36" s="137"/>
      <c r="G36" s="20">
        <f ca="1">INDIRECT(ADDRESS(103+(COLUMN()-5)/2,5,4,,"PSE"),1)</f>
        <v>1.3</v>
      </c>
      <c r="H36" s="21" t="str">
        <f ca="1">INDIRECT(ADDRESS(103+(COLUMN()-5)/2,6,4,,"PSE"),1)</f>
        <v xml:space="preserve"> </v>
      </c>
      <c r="I36" s="20" t="str">
        <f ca="1">INDIRECT(ADDRESS(103+(COLUMN()-5)/2,5,4,,"PSE"),1)</f>
        <v xml:space="preserve"> </v>
      </c>
      <c r="J36" s="21" t="str">
        <f ca="1">INDIRECT(ADDRESS(103+(COLUMN()-5)/2,6,4,,"PSE"),1)</f>
        <v xml:space="preserve"> </v>
      </c>
      <c r="K36" s="20" t="str">
        <f ca="1">INDIRECT(ADDRESS(103+(COLUMN()-5)/2,5,4,,"PSE"),1)</f>
        <v xml:space="preserve"> </v>
      </c>
      <c r="L36" s="21" t="str">
        <f ca="1">INDIRECT(ADDRESS(103+(COLUMN()-5)/2,6,4,,"PSE"),1)</f>
        <v xml:space="preserve"> </v>
      </c>
      <c r="M36" s="20" t="str">
        <f ca="1">INDIRECT(ADDRESS(103+(COLUMN()-5)/2,5,4,,"PSE"),1)</f>
        <v xml:space="preserve"> </v>
      </c>
      <c r="N36" s="21" t="str">
        <f ca="1">INDIRECT(ADDRESS(103+(COLUMN()-5)/2,6,4,,"PSE"),1)</f>
        <v xml:space="preserve"> </v>
      </c>
      <c r="O36" s="20" t="str">
        <f ca="1">INDIRECT(ADDRESS(103+(COLUMN()-5)/2,5,4,,"PSE"),1)</f>
        <v xml:space="preserve"> </v>
      </c>
      <c r="P36" s="21" t="str">
        <f ca="1">INDIRECT(ADDRESS(103+(COLUMN()-5)/2,6,4,,"PSE"),1)</f>
        <v xml:space="preserve"> </v>
      </c>
      <c r="Q36" s="20" t="str">
        <f ca="1">INDIRECT(ADDRESS(103+(COLUMN()-5)/2,5,4,,"PSE"),1)</f>
        <v xml:space="preserve"> </v>
      </c>
      <c r="R36" s="21" t="str">
        <f ca="1">INDIRECT(ADDRESS(103+(COLUMN()-5)/2,6,4,,"PSE"),1)</f>
        <v xml:space="preserve"> </v>
      </c>
      <c r="S36" s="20" t="str">
        <f ca="1">INDIRECT(ADDRESS(103+(COLUMN()-5)/2,5,4,,"PSE"),1)</f>
        <v xml:space="preserve"> </v>
      </c>
      <c r="T36" s="21" t="str">
        <f ca="1">INDIRECT(ADDRESS(103+(COLUMN()-5)/2,6,4,,"PSE"),1)</f>
        <v xml:space="preserve"> </v>
      </c>
      <c r="U36" s="20" t="str">
        <f ca="1">INDIRECT(ADDRESS(103+(COLUMN()-5)/2,5,4,,"PSE"),1)</f>
        <v xml:space="preserve"> </v>
      </c>
      <c r="V36" s="21" t="str">
        <f ca="1">INDIRECT(ADDRESS(103+(COLUMN()-5)/2,6,4,,"PSE"),1)</f>
        <v xml:space="preserve"> </v>
      </c>
      <c r="W36" s="20" t="str">
        <f ca="1">INDIRECT(ADDRESS(103+(COLUMN()-5)/2,5,4,,"PSE"),1)</f>
        <v xml:space="preserve"> </v>
      </c>
      <c r="X36" s="21" t="str">
        <f ca="1">INDIRECT(ADDRESS(103+(COLUMN()-5)/2,6,4,,"PSE"),1)</f>
        <v xml:space="preserve"> </v>
      </c>
      <c r="Y36" s="42"/>
      <c r="Z36" s="43"/>
      <c r="AA36" s="42"/>
      <c r="AB36" s="43"/>
      <c r="AC36" s="42"/>
      <c r="AD36" s="43"/>
      <c r="AE36" s="42"/>
      <c r="AF36" s="43"/>
      <c r="AG36" s="42"/>
      <c r="AH36" s="43"/>
      <c r="AI36" s="42"/>
      <c r="AJ36" s="43"/>
      <c r="AK36" s="42"/>
      <c r="AL36" s="43"/>
      <c r="AM36" s="10"/>
      <c r="AN36" s="15"/>
      <c r="AO36" s="10"/>
      <c r="AP36" s="15"/>
      <c r="AQ36" s="10"/>
      <c r="AR36" s="15"/>
      <c r="AS36" s="10"/>
      <c r="AT36" s="15"/>
      <c r="AU36" s="10"/>
      <c r="AV36" s="15"/>
      <c r="AW36" s="10"/>
      <c r="AX36" s="15"/>
      <c r="AY36" s="10"/>
      <c r="AZ36" s="15"/>
      <c r="BA36" s="10"/>
      <c r="BB36" s="15"/>
      <c r="BC36" s="10"/>
      <c r="BD36" s="15"/>
      <c r="BE36" s="10"/>
      <c r="BF36" s="15"/>
    </row>
    <row r="37" spans="1:58" ht="12" customHeight="1">
      <c r="B37" s="25">
        <f ca="1">INDIRECT(ADDRESS(88+14*(COLUMN()&gt;6)+(COLUMN()-2)/2,13,4,,"PSE"),1)</f>
        <v>270</v>
      </c>
      <c r="C37" s="22" t="str">
        <f ca="1">INDIRECT(ADDRESS(88+14*(COLUMN()&gt;6)+(COLUMN()-2)/2,7,4,,"PSE"),1)</f>
        <v>27 °C</v>
      </c>
      <c r="D37" s="25">
        <f ca="1">INDIRECT(ADDRESS(88+14*(COLUMN()&gt;6)+(COLUMN()-2)/2,13,4,,"PSE"),1)</f>
        <v>223</v>
      </c>
      <c r="E37" s="22" t="str">
        <f ca="1">INDIRECT(ADDRESS(88+14*(COLUMN()&gt;6)+(COLUMN()-2)/2,7,4,,"PSE"),1)</f>
        <v>700 °C</v>
      </c>
      <c r="F37" s="138"/>
      <c r="G37" s="25" t="str">
        <f ca="1">INDIRECT(ADDRESS(103+(COLUMN()-5)/2,13,4,,"PSE"),1)</f>
        <v xml:space="preserve"> </v>
      </c>
      <c r="H37" s="22" t="str">
        <f ca="1">INDIRECT(ADDRESS(103+(COLUMN()-5)/2,7,4,,"PSE"),1)</f>
        <v>1627 °C</v>
      </c>
      <c r="I37" s="25" t="str">
        <f ca="1">INDIRECT(ADDRESS(103+(COLUMN()-5)/2,13,4,,"PSE"),1)</f>
        <v xml:space="preserve"> </v>
      </c>
      <c r="J37" s="22" t="str">
        <f ca="1">INDIRECT(ADDRESS(103+(COLUMN()-5)/2,7,4,,"PSE"),1)</f>
        <v xml:space="preserve"> </v>
      </c>
      <c r="K37" s="25" t="str">
        <f ca="1">INDIRECT(ADDRESS(103+(COLUMN()-5)/2,13,4,,"PSE"),1)</f>
        <v xml:space="preserve"> </v>
      </c>
      <c r="L37" s="22" t="str">
        <f ca="1">INDIRECT(ADDRESS(103+(COLUMN()-5)/2,7,4,,"PSE"),1)</f>
        <v xml:space="preserve"> </v>
      </c>
      <c r="M37" s="25" t="str">
        <f ca="1">INDIRECT(ADDRESS(103+(COLUMN()-5)/2,13,4,,"PSE"),1)</f>
        <v xml:space="preserve"> </v>
      </c>
      <c r="N37" s="22" t="str">
        <f ca="1">INDIRECT(ADDRESS(103+(COLUMN()-5)/2,7,4,,"PSE"),1)</f>
        <v xml:space="preserve"> </v>
      </c>
      <c r="O37" s="25" t="str">
        <f ca="1">INDIRECT(ADDRESS(103+(COLUMN()-5)/2,13,4,,"PSE"),1)</f>
        <v xml:space="preserve"> </v>
      </c>
      <c r="P37" s="22" t="str">
        <f ca="1">INDIRECT(ADDRESS(103+(COLUMN()-5)/2,7,4,,"PSE"),1)</f>
        <v xml:space="preserve"> </v>
      </c>
      <c r="Q37" s="25" t="str">
        <f ca="1">INDIRECT(ADDRESS(103+(COLUMN()-5)/2,13,4,,"PSE"),1)</f>
        <v xml:space="preserve"> </v>
      </c>
      <c r="R37" s="22" t="str">
        <f ca="1">INDIRECT(ADDRESS(103+(COLUMN()-5)/2,7,4,,"PSE"),1)</f>
        <v xml:space="preserve"> </v>
      </c>
      <c r="S37" s="25" t="str">
        <f ca="1">INDIRECT(ADDRESS(103+(COLUMN()-5)/2,13,4,,"PSE"),1)</f>
        <v xml:space="preserve"> </v>
      </c>
      <c r="T37" s="22" t="str">
        <f ca="1">INDIRECT(ADDRESS(103+(COLUMN()-5)/2,7,4,,"PSE"),1)</f>
        <v xml:space="preserve"> </v>
      </c>
      <c r="U37" s="25" t="str">
        <f ca="1">INDIRECT(ADDRESS(103+(COLUMN()-5)/2,13,4,,"PSE"),1)</f>
        <v xml:space="preserve"> </v>
      </c>
      <c r="V37" s="22" t="str">
        <f ca="1">INDIRECT(ADDRESS(103+(COLUMN()-5)/2,7,4,,"PSE"),1)</f>
        <v xml:space="preserve"> </v>
      </c>
      <c r="W37" s="25" t="str">
        <f ca="1">INDIRECT(ADDRESS(103+(COLUMN()-5)/2,13,4,,"PSE"),1)</f>
        <v xml:space="preserve"> </v>
      </c>
      <c r="X37" s="22" t="str">
        <f ca="1">INDIRECT(ADDRESS(103+(COLUMN()-5)/2,7,4,,"PSE"),1)</f>
        <v xml:space="preserve"> </v>
      </c>
      <c r="Y37" s="44"/>
      <c r="Z37" s="45"/>
      <c r="AA37" s="44"/>
      <c r="AB37" s="45"/>
      <c r="AC37" s="44"/>
      <c r="AD37" s="45"/>
      <c r="AE37" s="44"/>
      <c r="AF37" s="45"/>
      <c r="AG37" s="44"/>
      <c r="AH37" s="45"/>
      <c r="AI37" s="44"/>
      <c r="AJ37" s="45"/>
      <c r="AK37" s="44"/>
      <c r="AL37" s="45"/>
      <c r="AM37" s="10"/>
      <c r="AN37" s="15"/>
      <c r="AO37" s="10"/>
      <c r="AP37" s="15"/>
      <c r="AQ37" s="10"/>
      <c r="AR37" s="15"/>
      <c r="AS37" s="10"/>
      <c r="AT37" s="15"/>
      <c r="AU37" s="10"/>
      <c r="AV37" s="15"/>
      <c r="AW37" s="10"/>
      <c r="AX37" s="15"/>
      <c r="AY37" s="10"/>
      <c r="AZ37" s="15"/>
      <c r="BA37" s="10"/>
      <c r="BB37" s="15"/>
      <c r="BC37" s="10"/>
      <c r="BD37" s="15"/>
      <c r="BE37" s="10"/>
      <c r="BF37" s="15"/>
    </row>
    <row r="38" spans="1:58" ht="15">
      <c r="AK38" s="2"/>
      <c r="AL38" s="3"/>
    </row>
    <row r="39" spans="1:58">
      <c r="AK39" s="5"/>
    </row>
    <row r="41" spans="1:58" ht="18" customHeight="1">
      <c r="D41" s="2"/>
      <c r="E41" s="3"/>
      <c r="F41" s="100"/>
      <c r="G41" s="16">
        <f ca="1">INDIRECT(ADDRESS(57+(COLUMN()-5)/2,1,4,,"PSE"),1)</f>
        <v>57</v>
      </c>
      <c r="H41" s="75">
        <f ca="1">INDIRECT(ADDRESS(57+(COLUMN()-5)/2,4,4,,"PSE"),1)</f>
        <v>138.90549999999999</v>
      </c>
      <c r="I41" s="16">
        <f ca="1">INDIRECT(ADDRESS(57+(COLUMN()-5)/2,1,4,,"PSE"),1)</f>
        <v>58</v>
      </c>
      <c r="J41" s="49">
        <f ca="1">INDIRECT(ADDRESS(57+(COLUMN()-5)/2,4,4,,"PSE"),1)</f>
        <v>140.11600000000001</v>
      </c>
      <c r="K41" s="16">
        <f ca="1">INDIRECT(ADDRESS(57+(COLUMN()-5)/2,1,4,,"PSE"),1)</f>
        <v>59</v>
      </c>
      <c r="L41" s="75">
        <f ca="1">INDIRECT(ADDRESS(57+(COLUMN()-5)/2,4,4,,"PSE"),1)</f>
        <v>140.90764999999999</v>
      </c>
      <c r="M41" s="16">
        <f ca="1">INDIRECT(ADDRESS(57+(COLUMN()-5)/2,1,4,,"PSE"),1)</f>
        <v>60</v>
      </c>
      <c r="N41" s="49">
        <f ca="1">INDIRECT(ADDRESS(57+(COLUMN()-5)/2,4,4,,"PSE"),1)</f>
        <v>144.24</v>
      </c>
      <c r="O41" s="16">
        <f ca="1">INDIRECT(ADDRESS(57+(COLUMN()-5)/2,1,4,,"PSE"),1)</f>
        <v>61</v>
      </c>
      <c r="P41" s="49">
        <f ca="1">INDIRECT(ADDRESS(57+(COLUMN()-5)/2,4,4,,"PSE"),1)</f>
        <v>145</v>
      </c>
      <c r="Q41" s="16">
        <f ca="1">INDIRECT(ADDRESS(57+(COLUMN()-5)/2,1,4,,"PSE"),1)</f>
        <v>62</v>
      </c>
      <c r="R41" s="49">
        <f ca="1">INDIRECT(ADDRESS(57+(COLUMN()-5)/2,4,4,,"PSE"),1)</f>
        <v>150.36000000000001</v>
      </c>
      <c r="S41" s="16">
        <f ca="1">INDIRECT(ADDRESS(57+(COLUMN()-5)/2,1,4,,"PSE"),1)</f>
        <v>63</v>
      </c>
      <c r="T41" s="49">
        <f ca="1">INDIRECT(ADDRESS(57+(COLUMN()-5)/2,4,4,,"PSE"),1)</f>
        <v>151.964</v>
      </c>
      <c r="U41" s="16">
        <f ca="1">INDIRECT(ADDRESS(57+(COLUMN()-5)/2,1,4,,"PSE"),1)</f>
        <v>64</v>
      </c>
      <c r="V41" s="49">
        <f ca="1">INDIRECT(ADDRESS(57+(COLUMN()-5)/2,4,4,,"PSE"),1)</f>
        <v>157.25</v>
      </c>
      <c r="W41" s="16">
        <f ca="1">INDIRECT(ADDRESS(57+(COLUMN()-5)/2,1,4,,"PSE"),1)</f>
        <v>65</v>
      </c>
      <c r="X41" s="75">
        <f ca="1">INDIRECT(ADDRESS(57+(COLUMN()-5)/2,4,4,,"PSE"),1)</f>
        <v>158.92534000000001</v>
      </c>
      <c r="Y41" s="16">
        <f ca="1">INDIRECT(ADDRESS(57+(COLUMN()-5)/2,1,4,,"PSE"),1)</f>
        <v>66</v>
      </c>
      <c r="Z41" s="49">
        <f ca="1">INDIRECT(ADDRESS(57+(COLUMN()-5)/2,4,4,,"PSE"),1)</f>
        <v>162.5</v>
      </c>
      <c r="AA41" s="16">
        <f ca="1">INDIRECT(ADDRESS(57+(COLUMN()-5)/2,1,4,,"PSE"),1)</f>
        <v>67</v>
      </c>
      <c r="AB41" s="77">
        <f ca="1">INDIRECT(ADDRESS(57+(COLUMN()-5)/2,4,4,,"PSE"),1)</f>
        <v>164.93031999999999</v>
      </c>
      <c r="AC41" s="16">
        <f ca="1">INDIRECT(ADDRESS(57+(COLUMN()-5)/2,1,4,,"PSE"),1)</f>
        <v>68</v>
      </c>
      <c r="AD41" s="49">
        <f ca="1">INDIRECT(ADDRESS(57+(COLUMN()-5)/2,4,4,,"PSE"),1)</f>
        <v>167.25899999999999</v>
      </c>
      <c r="AE41" s="16">
        <f ca="1">INDIRECT(ADDRESS(57+(COLUMN()-5)/2,1,4,,"PSE"),1)</f>
        <v>69</v>
      </c>
      <c r="AF41" s="75">
        <f ca="1">INDIRECT(ADDRESS(57+(COLUMN()-5)/2,4,4,,"PSE"),1)</f>
        <v>168.93421000000001</v>
      </c>
      <c r="AG41" s="16">
        <f ca="1">INDIRECT(ADDRESS(57+(COLUMN()-5)/2,1,4,,"PSE"),1)</f>
        <v>70</v>
      </c>
      <c r="AH41" s="49">
        <f ca="1">INDIRECT(ADDRESS(57+(COLUMN()-5)/2,4,4,,"PSE"),1)</f>
        <v>173.04</v>
      </c>
      <c r="AK41" s="11"/>
      <c r="AL41" s="12"/>
    </row>
    <row r="42" spans="1:58" ht="26.25" customHeight="1">
      <c r="A42" s="71" t="s">
        <v>1017</v>
      </c>
      <c r="E42" s="4"/>
      <c r="F42" s="101"/>
      <c r="G42" s="18" t="str">
        <f ca="1">INDIRECT(ADDRESS(57+(COLUMN()-5)/2,8,4,,"PSE"),1)</f>
        <v>6,16 g/cm³</v>
      </c>
      <c r="H42" s="19" t="str">
        <f ca="1">INDIRECT(ADDRESS(57+(COLUMN()-5)/2,2,4,,"PSE"),1)</f>
        <v>La</v>
      </c>
      <c r="I42" s="18" t="str">
        <f ca="1">INDIRECT(ADDRESS(57+(COLUMN()-5)/2,8,4,,"PSE"),1)</f>
        <v>6,77 g/cm³</v>
      </c>
      <c r="J42" s="19" t="str">
        <f ca="1">INDIRECT(ADDRESS(57+(COLUMN()-5)/2,2,4,,"PSE"),1)</f>
        <v>Ce</v>
      </c>
      <c r="K42" s="18" t="str">
        <f ca="1">INDIRECT(ADDRESS(57+(COLUMN()-5)/2,8,4,,"PSE"),1)</f>
        <v>6,48 g/cm³</v>
      </c>
      <c r="L42" s="19" t="str">
        <f ca="1">INDIRECT(ADDRESS(57+(COLUMN()-5)/2,2,4,,"PSE"),1)</f>
        <v>Pr</v>
      </c>
      <c r="M42" s="18" t="str">
        <f ca="1">INDIRECT(ADDRESS(57+(COLUMN()-5)/2,8,4,,"PSE"),1)</f>
        <v>7,00 g/cm³</v>
      </c>
      <c r="N42" s="19" t="str">
        <f ca="1">INDIRECT(ADDRESS(57+(COLUMN()-5)/2,2,4,,"PSE"),1)</f>
        <v>Nd</v>
      </c>
      <c r="O42" s="18" t="str">
        <f ca="1">INDIRECT(ADDRESS(57+(COLUMN()-5)/2,8,4,,"PSE"),1)</f>
        <v>7,22 g/cm³</v>
      </c>
      <c r="P42" s="19" t="str">
        <f ca="1">INDIRECT(ADDRESS(57+(COLUMN()-5)/2,2,4,,"PSE"),1)</f>
        <v>Pm</v>
      </c>
      <c r="Q42" s="18" t="str">
        <f ca="1">INDIRECT(ADDRESS(57+(COLUMN()-5)/2,8,4,,"PSE"),1)</f>
        <v>7,54 g/cm³</v>
      </c>
      <c r="R42" s="19" t="str">
        <f ca="1">INDIRECT(ADDRESS(57+(COLUMN()-5)/2,2,4,,"PSE"),1)</f>
        <v>Sm</v>
      </c>
      <c r="S42" s="18" t="str">
        <f ca="1">INDIRECT(ADDRESS(57+(COLUMN()-5)/2,8,4,,"PSE"),1)</f>
        <v>5,25 g/cm³</v>
      </c>
      <c r="T42" s="19" t="str">
        <f ca="1">INDIRECT(ADDRESS(57+(COLUMN()-5)/2,2,4,,"PSE"),1)</f>
        <v>Eu</v>
      </c>
      <c r="U42" s="18" t="str">
        <f ca="1">INDIRECT(ADDRESS(57+(COLUMN()-5)/2,8,4,,"PSE"),1)</f>
        <v>7,89 g/cm³</v>
      </c>
      <c r="V42" s="19" t="str">
        <f ca="1">INDIRECT(ADDRESS(57+(COLUMN()-5)/2,2,4,,"PSE"),1)</f>
        <v>Gd</v>
      </c>
      <c r="W42" s="18" t="str">
        <f ca="1">INDIRECT(ADDRESS(57+(COLUMN()-5)/2,8,4,,"PSE"),1)</f>
        <v>8,25 g/cm³</v>
      </c>
      <c r="X42" s="19" t="str">
        <f ca="1">INDIRECT(ADDRESS(57+(COLUMN()-5)/2,2,4,,"PSE"),1)</f>
        <v>Tb</v>
      </c>
      <c r="Y42" s="18" t="str">
        <f ca="1">INDIRECT(ADDRESS(57+(COLUMN()-5)/2,8,4,,"PSE"),1)</f>
        <v>8,56 g/cm³</v>
      </c>
      <c r="Z42" s="19" t="str">
        <f ca="1">INDIRECT(ADDRESS(57+(COLUMN()-5)/2,2,4,,"PSE"),1)</f>
        <v>Dy</v>
      </c>
      <c r="AA42" s="18" t="str">
        <f ca="1">INDIRECT(ADDRESS(57+(COLUMN()-5)/2,8,4,,"PSE"),1)</f>
        <v>8,78 g/cm³</v>
      </c>
      <c r="AB42" s="19" t="str">
        <f ca="1">INDIRECT(ADDRESS(57+(COLUMN()-5)/2,2,4,,"PSE"),1)</f>
        <v>Ho</v>
      </c>
      <c r="AC42" s="18" t="str">
        <f ca="1">INDIRECT(ADDRESS(57+(COLUMN()-5)/2,8,4,,"PSE"),1)</f>
        <v>9,05 g/cm³</v>
      </c>
      <c r="AD42" s="19" t="str">
        <f ca="1">INDIRECT(ADDRESS(57+(COLUMN()-5)/2,2,4,,"PSE"),1)</f>
        <v>Er</v>
      </c>
      <c r="AE42" s="18" t="str">
        <f ca="1">INDIRECT(ADDRESS(57+(COLUMN()-5)/2,8,4,,"PSE"),1)</f>
        <v>9,32 g/cm³</v>
      </c>
      <c r="AF42" s="19" t="str">
        <f ca="1">INDIRECT(ADDRESS(57+(COLUMN()-5)/2,2,4,,"PSE"),1)</f>
        <v>Tm</v>
      </c>
      <c r="AG42" s="18" t="str">
        <f ca="1">INDIRECT(ADDRESS(57+(COLUMN()-5)/2,8,4,,"PSE"),1)</f>
        <v>6,97 g/cm³</v>
      </c>
      <c r="AH42" s="19" t="str">
        <f ca="1">INDIRECT(ADDRESS(57+(COLUMN()-5)/2,2,4,,"PSE"),1)</f>
        <v>Yb</v>
      </c>
      <c r="AK42" s="8"/>
      <c r="AL42" s="13"/>
    </row>
    <row r="43" spans="1:58" ht="15" customHeight="1">
      <c r="D43" s="5"/>
      <c r="G43" s="198" t="str">
        <f ca="1">INDIRECT(ADDRESS(57+(COLUMN()-5)/2,3,4,,"PSE"),1)</f>
        <v>Lanthan</v>
      </c>
      <c r="H43" s="199"/>
      <c r="I43" s="198" t="str">
        <f ca="1">INDIRECT(ADDRESS(57+(COLUMN()-5)/2,3,4,,"PSE"),1)</f>
        <v>Cer</v>
      </c>
      <c r="J43" s="199"/>
      <c r="K43" s="198" t="str">
        <f ca="1">INDIRECT(ADDRESS(57+(COLUMN()-5)/2,3,4,,"PSE"),1)</f>
        <v>Praseodym</v>
      </c>
      <c r="L43" s="199"/>
      <c r="M43" s="198" t="str">
        <f ca="1">INDIRECT(ADDRESS(57+(COLUMN()-5)/2,3,4,,"PSE"),1)</f>
        <v>Neodym</v>
      </c>
      <c r="N43" s="199"/>
      <c r="O43" s="198" t="str">
        <f ca="1">INDIRECT(ADDRESS(57+(COLUMN()-5)/2,3,4,,"PSE"),1)</f>
        <v>Promethium</v>
      </c>
      <c r="P43" s="199"/>
      <c r="Q43" s="198" t="str">
        <f ca="1">INDIRECT(ADDRESS(57+(COLUMN()-5)/2,3,4,,"PSE"),1)</f>
        <v>Samarium</v>
      </c>
      <c r="R43" s="199"/>
      <c r="S43" s="198" t="str">
        <f ca="1">INDIRECT(ADDRESS(57+(COLUMN()-5)/2,3,4,,"PSE"),1)</f>
        <v>Europium</v>
      </c>
      <c r="T43" s="199"/>
      <c r="U43" s="198" t="str">
        <f ca="1">INDIRECT(ADDRESS(57+(COLUMN()-5)/2,3,4,,"PSE"),1)</f>
        <v>Gadolinium</v>
      </c>
      <c r="V43" s="199"/>
      <c r="W43" s="198" t="str">
        <f ca="1">INDIRECT(ADDRESS(57+(COLUMN()-5)/2,3,4,,"PSE"),1)</f>
        <v>Terbium</v>
      </c>
      <c r="X43" s="199"/>
      <c r="Y43" s="198" t="str">
        <f ca="1">INDIRECT(ADDRESS(57+(COLUMN()-5)/2,3,4,,"PSE"),1)</f>
        <v>Dysprosium</v>
      </c>
      <c r="Z43" s="199"/>
      <c r="AA43" s="198" t="str">
        <f ca="1">INDIRECT(ADDRESS(57+(COLUMN()-5)/2,3,4,,"PSE"),1)</f>
        <v>Holmium</v>
      </c>
      <c r="AB43" s="199"/>
      <c r="AC43" s="198" t="str">
        <f ca="1">INDIRECT(ADDRESS(57+(COLUMN()-5)/2,3,4,,"PSE"),1)</f>
        <v>Erbium</v>
      </c>
      <c r="AD43" s="199"/>
      <c r="AE43" s="198" t="str">
        <f ca="1">INDIRECT(ADDRESS(57+(COLUMN()-5)/2,3,4,,"PSE"),1)</f>
        <v>Thulium</v>
      </c>
      <c r="AF43" s="199"/>
      <c r="AG43" s="198" t="str">
        <f ca="1">INDIRECT(ADDRESS(57+(COLUMN()-5)/2,3,4,,"PSE"),1)</f>
        <v>Ytterbium</v>
      </c>
      <c r="AH43" s="199"/>
      <c r="AK43" s="9"/>
      <c r="AL43" s="14"/>
    </row>
    <row r="44" spans="1:58" ht="13.2">
      <c r="G44" s="20">
        <f ca="1">INDIRECT(ADDRESS(57+(COLUMN()-5)/2,5,4,,"PSE"),1)</f>
        <v>1.1000000000000001</v>
      </c>
      <c r="H44" s="21" t="str">
        <f ca="1">INDIRECT(ADDRESS(57+(COLUMN()-5)/2,6,4,,"PSE"),1)</f>
        <v>3470 °C</v>
      </c>
      <c r="I44" s="20">
        <f ca="1">INDIRECT(ADDRESS(57+(COLUMN()-5)/2,5,4,,"PSE"),1)</f>
        <v>1.1000000000000001</v>
      </c>
      <c r="J44" s="21" t="str">
        <f ca="1">INDIRECT(ADDRESS(57+(COLUMN()-5)/2,6,4,,"PSE"),1)</f>
        <v>3470 °C</v>
      </c>
      <c r="K44" s="20">
        <f ca="1">INDIRECT(ADDRESS(57+(COLUMN()-5)/2,5,4,,"PSE"),1)</f>
        <v>1.1000000000000001</v>
      </c>
      <c r="L44" s="21" t="str">
        <f ca="1">INDIRECT(ADDRESS(57+(COLUMN()-5)/2,6,4,,"PSE"),1)</f>
        <v>3130 °C</v>
      </c>
      <c r="M44" s="20">
        <f ca="1">INDIRECT(ADDRESS(57+(COLUMN()-5)/2,5,4,,"PSE"),1)</f>
        <v>1.2</v>
      </c>
      <c r="N44" s="21" t="str">
        <f ca="1">INDIRECT(ADDRESS(57+(COLUMN()-5)/2,6,4,,"PSE"),1)</f>
        <v>3030 °C</v>
      </c>
      <c r="O44" s="20">
        <f ca="1">INDIRECT(ADDRESS(57+(COLUMN()-5)/2,5,4,,"PSE"),1)</f>
        <v>1.1000000000000001</v>
      </c>
      <c r="P44" s="21" t="str">
        <f ca="1">INDIRECT(ADDRESS(57+(COLUMN()-5)/2,6,4,,"PSE"),1)</f>
        <v>2730 °C</v>
      </c>
      <c r="Q44" s="20">
        <f ca="1">INDIRECT(ADDRESS(57+(COLUMN()-5)/2,5,4,,"PSE"),1)</f>
        <v>1.2</v>
      </c>
      <c r="R44" s="21" t="str">
        <f ca="1">INDIRECT(ADDRESS(57+(COLUMN()-5)/2,6,4,,"PSE"),1)</f>
        <v>1900 °C</v>
      </c>
      <c r="S44" s="20">
        <f ca="1">INDIRECT(ADDRESS(57+(COLUMN()-5)/2,5,4,,"PSE"),1)</f>
        <v>1.2</v>
      </c>
      <c r="T44" s="21" t="str">
        <f ca="1">INDIRECT(ADDRESS(57+(COLUMN()-5)/2,6,4,,"PSE"),1)</f>
        <v>1440 °C</v>
      </c>
      <c r="U44" s="20">
        <f ca="1">INDIRECT(ADDRESS(57+(COLUMN()-5)/2,5,4,,"PSE"),1)</f>
        <v>1.2</v>
      </c>
      <c r="V44" s="21" t="str">
        <f ca="1">INDIRECT(ADDRESS(57+(COLUMN()-5)/2,6,4,,"PSE"),1)</f>
        <v>3000 °C</v>
      </c>
      <c r="W44" s="20">
        <f ca="1">INDIRECT(ADDRESS(57+(COLUMN()-5)/2,5,4,,"PSE"),1)</f>
        <v>1.2</v>
      </c>
      <c r="X44" s="21" t="str">
        <f ca="1">INDIRECT(ADDRESS(57+(COLUMN()-5)/2,6,4,,"PSE"),1)</f>
        <v>2800 °C</v>
      </c>
      <c r="Y44" s="20">
        <f ca="1">INDIRECT(ADDRESS(57+(COLUMN()-5)/2,5,4,,"PSE"),1)</f>
        <v>1.2</v>
      </c>
      <c r="Z44" s="21" t="str">
        <f ca="1">INDIRECT(ADDRESS(57+(COLUMN()-5)/2,6,4,,"PSE"),1)</f>
        <v>2600 °C</v>
      </c>
      <c r="AA44" s="20">
        <f ca="1">INDIRECT(ADDRESS(57+(COLUMN()-5)/2,5,4,,"PSE"),1)</f>
        <v>1.2</v>
      </c>
      <c r="AB44" s="21" t="str">
        <f ca="1">INDIRECT(ADDRESS(57+(COLUMN()-5)/2,6,4,,"PSE"),1)</f>
        <v>2600 °C</v>
      </c>
      <c r="AC44" s="20">
        <f ca="1">INDIRECT(ADDRESS(57+(COLUMN()-5)/2,5,4,,"PSE"),1)</f>
        <v>1.2</v>
      </c>
      <c r="AD44" s="21" t="str">
        <f ca="1">INDIRECT(ADDRESS(57+(COLUMN()-5)/2,6,4,,"PSE"),1)</f>
        <v>2900 °C</v>
      </c>
      <c r="AE44" s="20">
        <f ca="1">INDIRECT(ADDRESS(57+(COLUMN()-5)/2,5,4,,"PSE"),1)</f>
        <v>1.2</v>
      </c>
      <c r="AF44" s="21" t="str">
        <f ca="1">INDIRECT(ADDRESS(57+(COLUMN()-5)/2,6,4,,"PSE"),1)</f>
        <v>1730 °C</v>
      </c>
      <c r="AG44" s="20">
        <f ca="1">INDIRECT(ADDRESS(57+(COLUMN()-5)/2,5,4,,"PSE"),1)</f>
        <v>1.1000000000000001</v>
      </c>
      <c r="AH44" s="21" t="str">
        <f ca="1">INDIRECT(ADDRESS(57+(COLUMN()-5)/2,6,4,,"PSE"),1)</f>
        <v>1430 °C</v>
      </c>
      <c r="AL44" s="15"/>
    </row>
    <row r="45" spans="1:58" ht="11.25" customHeight="1">
      <c r="G45" s="23">
        <f ca="1">INDIRECT(ADDRESS(57+(COLUMN()-5)/2,13,4,,"PSE"),1)</f>
        <v>187.7</v>
      </c>
      <c r="H45" s="22" t="str">
        <f ca="1">INDIRECT(ADDRESS(57+(COLUMN()-5)/2,7,4,,"PSE"),1)</f>
        <v>920 °C</v>
      </c>
      <c r="I45" s="23">
        <f ca="1">INDIRECT(ADDRESS(57+(COLUMN()-5)/2,13,4,,"PSE"),1)</f>
        <v>182.5</v>
      </c>
      <c r="J45" s="22" t="str">
        <f ca="1">INDIRECT(ADDRESS(57+(COLUMN()-5)/2,7,4,,"PSE"),1)</f>
        <v>795 °C</v>
      </c>
      <c r="K45" s="23">
        <f ca="1">INDIRECT(ADDRESS(57+(COLUMN()-5)/2,13,4,,"PSE"),1)</f>
        <v>182.8</v>
      </c>
      <c r="L45" s="22" t="str">
        <f ca="1">INDIRECT(ADDRESS(57+(COLUMN()-5)/2,7,4,,"PSE"),1)</f>
        <v>935 °C</v>
      </c>
      <c r="M45" s="23">
        <f ca="1">INDIRECT(ADDRESS(57+(COLUMN()-5)/2,13,4,,"PSE"),1)</f>
        <v>182.1</v>
      </c>
      <c r="N45" s="22" t="str">
        <f ca="1">INDIRECT(ADDRESS(57+(COLUMN()-5)/2,7,4,,"PSE"),1)</f>
        <v>1020 °C</v>
      </c>
      <c r="O45" s="23">
        <f ca="1">INDIRECT(ADDRESS(57+(COLUMN()-5)/2,13,4,,"PSE"),1)</f>
        <v>181</v>
      </c>
      <c r="P45" s="22" t="str">
        <f ca="1">INDIRECT(ADDRESS(57+(COLUMN()-5)/2,7,4,,"PSE"),1)</f>
        <v>1030 °C</v>
      </c>
      <c r="Q45" s="23">
        <f ca="1">INDIRECT(ADDRESS(57+(COLUMN()-5)/2,13,4,,"PSE"),1)</f>
        <v>180.2</v>
      </c>
      <c r="R45" s="22" t="str">
        <f ca="1">INDIRECT(ADDRESS(57+(COLUMN()-5)/2,7,4,,"PSE"),1)</f>
        <v>1070 °C</v>
      </c>
      <c r="S45" s="23">
        <f ca="1">INDIRECT(ADDRESS(57+(COLUMN()-5)/2,13,4,,"PSE"),1)</f>
        <v>204.2</v>
      </c>
      <c r="T45" s="22" t="str">
        <f ca="1">INDIRECT(ADDRESS(57+(COLUMN()-5)/2,7,4,,"PSE"),1)</f>
        <v>826 °C</v>
      </c>
      <c r="U45" s="23">
        <f ca="1">INDIRECT(ADDRESS(57+(COLUMN()-5)/2,13,4,,"PSE"),1)</f>
        <v>180.2</v>
      </c>
      <c r="V45" s="22" t="str">
        <f ca="1">INDIRECT(ADDRESS(57+(COLUMN()-5)/2,7,4,,"PSE"),1)</f>
        <v>1310 °C</v>
      </c>
      <c r="W45" s="23">
        <f ca="1">INDIRECT(ADDRESS(57+(COLUMN()-5)/2,13,4,,"PSE"),1)</f>
        <v>178.2</v>
      </c>
      <c r="X45" s="22" t="str">
        <f ca="1">INDIRECT(ADDRESS(57+(COLUMN()-5)/2,7,4,,"PSE"),1)</f>
        <v>1360 °C</v>
      </c>
      <c r="Y45" s="23">
        <f ca="1">INDIRECT(ADDRESS(57+(COLUMN()-5)/2,13,4,,"PSE"),1)</f>
        <v>177.3</v>
      </c>
      <c r="Z45" s="22" t="str">
        <f ca="1">INDIRECT(ADDRESS(57+(COLUMN()-5)/2,7,4,,"PSE"),1)</f>
        <v>1410 °C</v>
      </c>
      <c r="AA45" s="23">
        <f ca="1">INDIRECT(ADDRESS(57+(COLUMN()-5)/2,13,4,,"PSE"),1)</f>
        <v>176.6</v>
      </c>
      <c r="AB45" s="22" t="str">
        <f ca="1">INDIRECT(ADDRESS(57+(COLUMN()-5)/2,7,4,,"PSE"),1)</f>
        <v>1460 °C</v>
      </c>
      <c r="AC45" s="23">
        <f ca="1">INDIRECT(ADDRESS(57+(COLUMN()-5)/2,13,4,,"PSE"),1)</f>
        <v>175.7</v>
      </c>
      <c r="AD45" s="22" t="str">
        <f ca="1">INDIRECT(ADDRESS(57+(COLUMN()-5)/2,7,4,,"PSE"),1)</f>
        <v>1500 °C</v>
      </c>
      <c r="AE45" s="23">
        <f ca="1">INDIRECT(ADDRESS(57+(COLUMN()-5)/2,13,4,,"PSE"),1)</f>
        <v>174.6</v>
      </c>
      <c r="AF45" s="22" t="str">
        <f ca="1">INDIRECT(ADDRESS(57+(COLUMN()-5)/2,7,4,,"PSE"),1)</f>
        <v>1550 °C</v>
      </c>
      <c r="AG45" s="23">
        <f ca="1">INDIRECT(ADDRESS(57+(COLUMN()-5)/2,13,4,,"PSE"),1)</f>
        <v>194</v>
      </c>
      <c r="AH45" s="22" t="str">
        <f ca="1">INDIRECT(ADDRESS(57+(COLUMN()-5)/2,7,4,,"PSE"),1)</f>
        <v>824 °C</v>
      </c>
      <c r="AK45" s="10"/>
      <c r="AL45" s="10"/>
    </row>
    <row r="46" spans="1:58" ht="18" customHeight="1">
      <c r="G46" s="16">
        <f ca="1">INDIRECT(ADDRESS(89+(COLUMN()-5)/2,1,4,,"PSE"),1)</f>
        <v>89</v>
      </c>
      <c r="H46" s="49">
        <f ca="1">INDIRECT(ADDRESS(89+(COLUMN()-5)/2,4,4,,"PSE"),1)</f>
        <v>227</v>
      </c>
      <c r="I46" s="16">
        <f ca="1">INDIRECT(ADDRESS(89+(COLUMN()-5)/2,1,4,,"PSE"),1)</f>
        <v>90</v>
      </c>
      <c r="J46" s="49">
        <f ca="1">INDIRECT(ADDRESS(89+(COLUMN()-5)/2,4,4,,"PSE"),1)</f>
        <v>232</v>
      </c>
      <c r="K46" s="16">
        <f ca="1">INDIRECT(ADDRESS(89+(COLUMN()-5)/2,1,4,,"PSE"),1)</f>
        <v>91</v>
      </c>
      <c r="L46" s="49">
        <f ca="1">INDIRECT(ADDRESS(89+(COLUMN()-5)/2,4,4,,"PSE"),1)</f>
        <v>231</v>
      </c>
      <c r="M46" s="16">
        <f ca="1">INDIRECT(ADDRESS(89+(COLUMN()-5)/2,1,4,,"PSE"),1)</f>
        <v>92</v>
      </c>
      <c r="N46" s="49">
        <f ca="1">INDIRECT(ADDRESS(89+(COLUMN()-5)/2,4,4,,"PSE"),1)</f>
        <v>238</v>
      </c>
      <c r="O46" s="16">
        <f ca="1">INDIRECT(ADDRESS(89+(COLUMN()-5)/2,1,4,,"PSE"),1)</f>
        <v>93</v>
      </c>
      <c r="P46" s="49">
        <f ca="1">INDIRECT(ADDRESS(89+(COLUMN()-5)/2,4,4,,"PSE"),1)</f>
        <v>237</v>
      </c>
      <c r="Q46" s="16">
        <f ca="1">INDIRECT(ADDRESS(89+(COLUMN()-5)/2,1,4,,"PSE"),1)</f>
        <v>94</v>
      </c>
      <c r="R46" s="49">
        <f ca="1">INDIRECT(ADDRESS(89+(COLUMN()-5)/2,4,4,,"PSE"),1)</f>
        <v>244</v>
      </c>
      <c r="S46" s="16">
        <f ca="1">INDIRECT(ADDRESS(89+(COLUMN()-5)/2,1,4,,"PSE"),1)</f>
        <v>95</v>
      </c>
      <c r="T46" s="49">
        <f ca="1">INDIRECT(ADDRESS(89+(COLUMN()-5)/2,4,4,,"PSE"),1)</f>
        <v>243</v>
      </c>
      <c r="U46" s="16">
        <f ca="1">INDIRECT(ADDRESS(89+(COLUMN()-5)/2,1,4,,"PSE"),1)</f>
        <v>96</v>
      </c>
      <c r="V46" s="49">
        <f ca="1">INDIRECT(ADDRESS(89+(COLUMN()-5)/2,4,4,,"PSE"),1)</f>
        <v>247</v>
      </c>
      <c r="W46" s="16">
        <f ca="1">INDIRECT(ADDRESS(89+(COLUMN()-5)/2,1,4,,"PSE"),1)</f>
        <v>97</v>
      </c>
      <c r="X46" s="49">
        <f ca="1">INDIRECT(ADDRESS(89+(COLUMN()-5)/2,4,4,,"PSE"),1)</f>
        <v>247</v>
      </c>
      <c r="Y46" s="16">
        <f ca="1">INDIRECT(ADDRESS(89+(COLUMN()-5)/2,1,4,,"PSE"),1)</f>
        <v>98</v>
      </c>
      <c r="Z46" s="49">
        <f ca="1">INDIRECT(ADDRESS(89+(COLUMN()-5)/2,4,4,,"PSE"),1)</f>
        <v>251</v>
      </c>
      <c r="AA46" s="16">
        <f ca="1">INDIRECT(ADDRESS(89+(COLUMN()-5)/2,1,4,,"PSE"),1)</f>
        <v>99</v>
      </c>
      <c r="AB46" s="49">
        <f ca="1">INDIRECT(ADDRESS(89+(COLUMN()-5)/2,4,4,,"PSE"),1)</f>
        <v>254</v>
      </c>
      <c r="AC46" s="16">
        <f ca="1">INDIRECT(ADDRESS(89+(COLUMN()-5)/2,1,4,,"PSE"),1)</f>
        <v>100</v>
      </c>
      <c r="AD46" s="49">
        <f ca="1">INDIRECT(ADDRESS(89+(COLUMN()-5)/2,4,4,,"PSE"),1)</f>
        <v>257</v>
      </c>
      <c r="AE46" s="16">
        <f ca="1">INDIRECT(ADDRESS(89+(COLUMN()-5)/2,1,4,,"PSE"),1)</f>
        <v>101</v>
      </c>
      <c r="AF46" s="49">
        <f ca="1">INDIRECT(ADDRESS(89+(COLUMN()-5)/2,4,4,,"PSE"),1)</f>
        <v>258</v>
      </c>
      <c r="AG46" s="16">
        <f ca="1">INDIRECT(ADDRESS(89+(COLUMN()-5)/2,1,4,,"PSE"),1)</f>
        <v>102</v>
      </c>
      <c r="AH46" s="49">
        <f ca="1">INDIRECT(ADDRESS(89+(COLUMN()-5)/2,4,4,,"PSE"),1)</f>
        <v>255</v>
      </c>
      <c r="AK46" s="11"/>
      <c r="AL46" s="12"/>
    </row>
    <row r="47" spans="1:58" s="63" customFormat="1" ht="30" customHeight="1">
      <c r="A47" s="71" t="s">
        <v>1018</v>
      </c>
      <c r="F47" s="102"/>
      <c r="G47" s="64" t="str">
        <f ca="1">INDIRECT(ADDRESS(89+(COLUMN()-5)/2,8,4,,"PSE"),1)</f>
        <v>10,07 g/cm³</v>
      </c>
      <c r="H47" s="65" t="str">
        <f ca="1">INDIRECT(ADDRESS(89+(COLUMN()-5)/2,2,4,,"PSE"),1)</f>
        <v>Ac</v>
      </c>
      <c r="I47" s="64" t="str">
        <f ca="1">INDIRECT(ADDRESS(89+(COLUMN()-5)/2,8,4,,"PSE"),1)</f>
        <v>11,72 g/cm³</v>
      </c>
      <c r="J47" s="65" t="str">
        <f ca="1">INDIRECT(ADDRESS(89+(COLUMN()-5)/2,2,4,,"PSE"),1)</f>
        <v>Th</v>
      </c>
      <c r="K47" s="64" t="str">
        <f ca="1">INDIRECT(ADDRESS(89+(COLUMN()-5)/2,8,4,,"PSE"),1)</f>
        <v>15,37 g/cm³</v>
      </c>
      <c r="L47" s="65" t="str">
        <f ca="1">INDIRECT(ADDRESS(89+(COLUMN()-5)/2,2,4,,"PSE"),1)</f>
        <v>Pa</v>
      </c>
      <c r="M47" s="64" t="str">
        <f ca="1">INDIRECT(ADDRESS(89+(COLUMN()-5)/2,8,4,,"PSE"),1)</f>
        <v>18,97 g/cm³</v>
      </c>
      <c r="N47" s="65" t="str">
        <f ca="1">INDIRECT(ADDRESS(89+(COLUMN()-5)/2,2,4,,"PSE"),1)</f>
        <v>U</v>
      </c>
      <c r="O47" s="64" t="str">
        <f ca="1">INDIRECT(ADDRESS(89+(COLUMN()-5)/2,8,4,,"PSE"),1)</f>
        <v>20,48 g/cm³</v>
      </c>
      <c r="P47" s="65" t="str">
        <f ca="1">INDIRECT(ADDRESS(89+(COLUMN()-5)/2,2,4,,"PSE"),1)</f>
        <v>Np</v>
      </c>
      <c r="Q47" s="64" t="str">
        <f ca="1">INDIRECT(ADDRESS(89+(COLUMN()-5)/2,8,4,,"PSE"),1)</f>
        <v>19,74 g/cm³</v>
      </c>
      <c r="R47" s="65" t="str">
        <f ca="1">INDIRECT(ADDRESS(89+(COLUMN()-5)/2,2,4,,"PSE"),1)</f>
        <v>Pu</v>
      </c>
      <c r="S47" s="64" t="str">
        <f ca="1">INDIRECT(ADDRESS(89+(COLUMN()-5)/2,8,4,,"PSE"),1)</f>
        <v>13,67 g/cm³</v>
      </c>
      <c r="T47" s="65" t="str">
        <f ca="1">INDIRECT(ADDRESS(89+(COLUMN()-5)/2,2,4,,"PSE"),1)</f>
        <v>Am</v>
      </c>
      <c r="U47" s="64" t="str">
        <f ca="1">INDIRECT(ADDRESS(89+(COLUMN()-5)/2,8,4,,"PSE"),1)</f>
        <v>13,51 g/cm³</v>
      </c>
      <c r="V47" s="65" t="str">
        <f ca="1">INDIRECT(ADDRESS(89+(COLUMN()-5)/2,2,4,,"PSE"),1)</f>
        <v>Cm</v>
      </c>
      <c r="W47" s="64" t="str">
        <f ca="1">INDIRECT(ADDRESS(89+(COLUMN()-5)/2,8,4,,"PSE"),1)</f>
        <v>13,25 g/cm³</v>
      </c>
      <c r="X47" s="65" t="str">
        <f ca="1">INDIRECT(ADDRESS(89+(COLUMN()-5)/2,2,4,,"PSE"),1)</f>
        <v>Bk</v>
      </c>
      <c r="Y47" s="64" t="str">
        <f ca="1">INDIRECT(ADDRESS(89+(COLUMN()-5)/2,8,4,,"PSE"),1)</f>
        <v>15,1 g/cm³</v>
      </c>
      <c r="Z47" s="65" t="str">
        <f ca="1">INDIRECT(ADDRESS(89+(COLUMN()-5)/2,2,4,,"PSE"),1)</f>
        <v>Cf</v>
      </c>
      <c r="AA47" s="64" t="str">
        <f ca="1">INDIRECT(ADDRESS(89+(COLUMN()-5)/2,8,4,,"PSE"),1)</f>
        <v xml:space="preserve"> </v>
      </c>
      <c r="AB47" s="65" t="str">
        <f ca="1">INDIRECT(ADDRESS(89+(COLUMN()-5)/2,2,4,,"PSE"),1)</f>
        <v>Es</v>
      </c>
      <c r="AC47" s="64" t="str">
        <f ca="1">INDIRECT(ADDRESS(89+(COLUMN()-5)/2,8,4,,"PSE"),1)</f>
        <v xml:space="preserve"> </v>
      </c>
      <c r="AD47" s="65" t="str">
        <f ca="1">INDIRECT(ADDRESS(89+(COLUMN()-5)/2,2,4,,"PSE"),1)</f>
        <v>Fm</v>
      </c>
      <c r="AE47" s="64" t="str">
        <f ca="1">INDIRECT(ADDRESS(89+(COLUMN()-5)/2,8,4,,"PSE"),1)</f>
        <v xml:space="preserve"> </v>
      </c>
      <c r="AF47" s="65" t="str">
        <f ca="1">INDIRECT(ADDRESS(89+(COLUMN()-5)/2,2,4,,"PSE"),1)</f>
        <v>Md</v>
      </c>
      <c r="AG47" s="64" t="str">
        <f ca="1">INDIRECT(ADDRESS(89+(COLUMN()-5)/2,8,4,,"PSE"),1)</f>
        <v xml:space="preserve"> </v>
      </c>
      <c r="AH47" s="65" t="str">
        <f ca="1">INDIRECT(ADDRESS(89+(COLUMN()-5)/2,2,4,,"PSE"),1)</f>
        <v>No</v>
      </c>
      <c r="AK47" s="66"/>
      <c r="AL47" s="67"/>
    </row>
    <row r="48" spans="1:58" ht="15" customHeight="1">
      <c r="G48" s="198" t="str">
        <f ca="1">INDIRECT(ADDRESS(89+(COLUMN()-5)/2,3,4,,"PSE"),1)</f>
        <v>Actinium</v>
      </c>
      <c r="H48" s="199"/>
      <c r="I48" s="198" t="str">
        <f ca="1">INDIRECT(ADDRESS(88+(COLUMN()-2)/2,3,4,,"PSE"),1)</f>
        <v>Thorium</v>
      </c>
      <c r="J48" s="199"/>
      <c r="K48" s="198" t="str">
        <f ca="1">INDIRECT(ADDRESS(88+(COLUMN()-2)/2,3,4,,"PSE"),1)</f>
        <v>Protactinium</v>
      </c>
      <c r="L48" s="199"/>
      <c r="M48" s="198" t="str">
        <f ca="1">INDIRECT(ADDRESS(88+(COLUMN()-2)/2,3,4,,"PSE"),1)</f>
        <v>Uran</v>
      </c>
      <c r="N48" s="199"/>
      <c r="O48" s="198" t="str">
        <f ca="1">INDIRECT(ADDRESS(88+(COLUMN()-2)/2,3,4,,"PSE"),1)</f>
        <v>Neptunium</v>
      </c>
      <c r="P48" s="199"/>
      <c r="Q48" s="198" t="str">
        <f ca="1">INDIRECT(ADDRESS(88+(COLUMN()-2)/2,3,4,,"PSE"),1)</f>
        <v>Plutonium</v>
      </c>
      <c r="R48" s="199"/>
      <c r="S48" s="198" t="str">
        <f ca="1">INDIRECT(ADDRESS(88+(COLUMN()-2)/2,3,4,,"PSE"),1)</f>
        <v>Americium</v>
      </c>
      <c r="T48" s="199"/>
      <c r="U48" s="198" t="str">
        <f ca="1">INDIRECT(ADDRESS(88+(COLUMN()-2)/2,3,4,,"PSE"),1)</f>
        <v>Curium</v>
      </c>
      <c r="V48" s="199"/>
      <c r="W48" s="198" t="str">
        <f ca="1">INDIRECT(ADDRESS(88+(COLUMN()-2)/2,3,4,,"PSE"),1)</f>
        <v>Berkelium</v>
      </c>
      <c r="X48" s="199"/>
      <c r="Y48" s="198" t="str">
        <f ca="1">INDIRECT(ADDRESS(88+(COLUMN()-2)/2,3,4,,"PSE"),1)</f>
        <v>Californium</v>
      </c>
      <c r="Z48" s="199"/>
      <c r="AA48" s="198" t="str">
        <f ca="1">INDIRECT(ADDRESS(88+(COLUMN()-2)/2,3,4,,"PSE"),1)</f>
        <v>Einsteinium</v>
      </c>
      <c r="AB48" s="199"/>
      <c r="AC48" s="198" t="str">
        <f ca="1">INDIRECT(ADDRESS(88+(COLUMN()-2)/2,3,4,,"PSE"),1)</f>
        <v>Fermium</v>
      </c>
      <c r="AD48" s="199"/>
      <c r="AE48" s="198" t="str">
        <f ca="1">INDIRECT(ADDRESS(88+(COLUMN()-2)/2,3,4,,"PSE"),1)</f>
        <v>Mendelevium</v>
      </c>
      <c r="AF48" s="199"/>
      <c r="AG48" s="198" t="str">
        <f ca="1">INDIRECT(ADDRESS(88+(COLUMN()-2)/2,3,4,,"PSE"),1)</f>
        <v>Nobelium</v>
      </c>
      <c r="AH48" s="199"/>
      <c r="AK48" s="9"/>
      <c r="AL48" s="14"/>
    </row>
    <row r="49" spans="7:38" ht="13.2">
      <c r="G49" s="20">
        <f ca="1">INDIRECT(ADDRESS(89+(COLUMN()-5)/2,5,4,,"PSE"),1)</f>
        <v>1.1000000000000001</v>
      </c>
      <c r="H49" s="21" t="str">
        <f ca="1">INDIRECT(ADDRESS(89+(COLUMN()-5)/2,6,4,,"PSE"),1)</f>
        <v>3200 °C</v>
      </c>
      <c r="I49" s="20">
        <f ca="1">INDIRECT(ADDRESS(89+(COLUMN()-5)/2,5,4,,"PSE"),1)</f>
        <v>1.3</v>
      </c>
      <c r="J49" s="21" t="str">
        <f ca="1">INDIRECT(ADDRESS(89+(COLUMN()-5)/2,6,4,,"PSE"),1)</f>
        <v>4200 °C</v>
      </c>
      <c r="K49" s="20">
        <f ca="1">INDIRECT(ADDRESS(89+(COLUMN()-5)/2,5,4,,"PSE"),1)</f>
        <v>1.5</v>
      </c>
      <c r="L49" s="21" t="str">
        <f ca="1">INDIRECT(ADDRESS(89+(COLUMN()-5)/2,6,4,,"PSE"),1)</f>
        <v>- °C</v>
      </c>
      <c r="M49" s="20">
        <f ca="1">INDIRECT(ADDRESS(89+(COLUMN()-5)/2,5,4,,"PSE"),1)</f>
        <v>1.4</v>
      </c>
      <c r="N49" s="21" t="str">
        <f ca="1">INDIRECT(ADDRESS(89+(COLUMN()-5)/2,6,4,,"PSE"),1)</f>
        <v>3818 °C</v>
      </c>
      <c r="O49" s="20">
        <f ca="1">INDIRECT(ADDRESS(89+(COLUMN()-5)/2,5,4,,"PSE"),1)</f>
        <v>1.4</v>
      </c>
      <c r="P49" s="21" t="str">
        <f ca="1">INDIRECT(ADDRESS(89+(COLUMN()-5)/2,6,4,,"PSE"),1)</f>
        <v>3900 °C</v>
      </c>
      <c r="Q49" s="20">
        <f ca="1">INDIRECT(ADDRESS(89+(COLUMN()-5)/2,5,4,,"PSE"),1)</f>
        <v>1.3</v>
      </c>
      <c r="R49" s="21" t="str">
        <f ca="1">INDIRECT(ADDRESS(89+(COLUMN()-5)/2,6,4,,"PSE"),1)</f>
        <v>3235 °C</v>
      </c>
      <c r="S49" s="20">
        <f ca="1">INDIRECT(ADDRESS(89+(COLUMN()-5)/2,5,4,,"PSE"),1)</f>
        <v>1.1000000000000001</v>
      </c>
      <c r="T49" s="21" t="str">
        <f ca="1">INDIRECT(ADDRESS(89+(COLUMN()-5)/2,6,4,,"PSE"),1)</f>
        <v>2600 °C</v>
      </c>
      <c r="U49" s="20">
        <f ca="1">INDIRECT(ADDRESS(89+(COLUMN()-5)/2,5,4,,"PSE"),1)</f>
        <v>1.3</v>
      </c>
      <c r="V49" s="21" t="str">
        <f ca="1">INDIRECT(ADDRESS(89+(COLUMN()-5)/2,6,4,,"PSE"),1)</f>
        <v>3100 °C</v>
      </c>
      <c r="W49" s="20">
        <f ca="1">INDIRECT(ADDRESS(89+(COLUMN()-5)/2,5,4,,"PSE"),1)</f>
        <v>1.3</v>
      </c>
      <c r="X49" s="21" t="str">
        <f ca="1">INDIRECT(ADDRESS(89+(COLUMN()-5)/2,6,4,,"PSE"),1)</f>
        <v xml:space="preserve"> </v>
      </c>
      <c r="Y49" s="20">
        <f ca="1">INDIRECT(ADDRESS(89+(COLUMN()-5)/2,5,4,,"PSE"),1)</f>
        <v>1.3</v>
      </c>
      <c r="Z49" s="21" t="str">
        <f ca="1">INDIRECT(ADDRESS(89+(COLUMN()-5)/2,6,4,,"PSE"),1)</f>
        <v xml:space="preserve"> </v>
      </c>
      <c r="AA49" s="20">
        <f ca="1">INDIRECT(ADDRESS(89+(COLUMN()-5)/2,5,4,,"PSE"),1)</f>
        <v>1.3</v>
      </c>
      <c r="AB49" s="21" t="str">
        <f ca="1">INDIRECT(ADDRESS(89+(COLUMN()-5)/2,6,4,,"PSE"),1)</f>
        <v xml:space="preserve"> </v>
      </c>
      <c r="AC49" s="20">
        <f ca="1">INDIRECT(ADDRESS(89+(COLUMN()-5)/2,5,4,,"PSE"),1)</f>
        <v>1.3</v>
      </c>
      <c r="AD49" s="21" t="str">
        <f ca="1">INDIRECT(ADDRESS(89+(COLUMN()-5)/2,6,4,,"PSE"),1)</f>
        <v xml:space="preserve"> </v>
      </c>
      <c r="AE49" s="20">
        <f ca="1">INDIRECT(ADDRESS(89+(COLUMN()-5)/2,5,4,,"PSE"),1)</f>
        <v>1.3</v>
      </c>
      <c r="AF49" s="21" t="str">
        <f ca="1">INDIRECT(ADDRESS(89+(COLUMN()-5)/2,6,4,,"PSE"),1)</f>
        <v xml:space="preserve"> </v>
      </c>
      <c r="AG49" s="20">
        <f ca="1">INDIRECT(ADDRESS(89+(COLUMN()-5)/2,5,4,,"PSE"),1)</f>
        <v>1.3</v>
      </c>
      <c r="AH49" s="21" t="str">
        <f ca="1">INDIRECT(ADDRESS(89+(COLUMN()-5)/2,6,4,,"PSE"),1)</f>
        <v xml:space="preserve"> </v>
      </c>
      <c r="AL49" s="15"/>
    </row>
    <row r="50" spans="7:38" ht="11.25" customHeight="1">
      <c r="G50" s="23">
        <f ca="1">INDIRECT(ADDRESS(89+(COLUMN()-5)/2,13,4,,"PSE"),1)</f>
        <v>187.8</v>
      </c>
      <c r="H50" s="22" t="str">
        <f ca="1">INDIRECT(ADDRESS(89+(COLUMN()-5)/2,7,4,,"PSE"),1)</f>
        <v>1050 °C</v>
      </c>
      <c r="I50" s="23">
        <f ca="1">INDIRECT(ADDRESS(89+(COLUMN()-5)/2,13,4,,"PSE"),1)</f>
        <v>179.8</v>
      </c>
      <c r="J50" s="22" t="str">
        <f ca="1">INDIRECT(ADDRESS(89+(COLUMN()-5)/2,7,4,,"PSE"),1)</f>
        <v>1700 °C</v>
      </c>
      <c r="K50" s="23">
        <f ca="1">INDIRECT(ADDRESS(89+(COLUMN()-5)/2,13,4,,"PSE"),1)</f>
        <v>160.6</v>
      </c>
      <c r="L50" s="22" t="str">
        <f ca="1">INDIRECT(ADDRESS(89+(COLUMN()-5)/2,7,4,,"PSE"),1)</f>
        <v>1230 °C</v>
      </c>
      <c r="M50" s="23">
        <f ca="1">INDIRECT(ADDRESS(89+(COLUMN()-5)/2,13,4,,"PSE"),1)</f>
        <v>138.5</v>
      </c>
      <c r="N50" s="22" t="str">
        <f ca="1">INDIRECT(ADDRESS(89+(COLUMN()-5)/2,7,4,,"PSE"),1)</f>
        <v>1130 °C</v>
      </c>
      <c r="O50" s="23">
        <f ca="1">INDIRECT(ADDRESS(89+(COLUMN()-5)/2,13,4,,"PSE"),1)</f>
        <v>131</v>
      </c>
      <c r="P50" s="22" t="str">
        <f ca="1">INDIRECT(ADDRESS(89+(COLUMN()-5)/2,7,4,,"PSE"),1)</f>
        <v>640 °C</v>
      </c>
      <c r="Q50" s="23">
        <f ca="1">INDIRECT(ADDRESS(89+(COLUMN()-5)/2,13,4,,"PSE"),1)</f>
        <v>151</v>
      </c>
      <c r="R50" s="22" t="str">
        <f ca="1">INDIRECT(ADDRESS(89+(COLUMN()-5)/2,7,4,,"PSE"),1)</f>
        <v>640 °C</v>
      </c>
      <c r="S50" s="23">
        <f ca="1">INDIRECT(ADDRESS(89+(COLUMN()-5)/2,13,4,,"PSE"),1)</f>
        <v>184</v>
      </c>
      <c r="T50" s="22" t="str">
        <f ca="1">INDIRECT(ADDRESS(89+(COLUMN()-5)/2,7,4,,"PSE"),1)</f>
        <v>850 °C</v>
      </c>
      <c r="U50" s="23" t="str">
        <f ca="1">INDIRECT(ADDRESS(89+(COLUMN()-5)/2,13,4,,"PSE"),1)</f>
        <v xml:space="preserve"> </v>
      </c>
      <c r="V50" s="22" t="str">
        <f ca="1">INDIRECT(ADDRESS(89+(COLUMN()-5)/2,7,4,,"PSE"),1)</f>
        <v>1343 °C</v>
      </c>
      <c r="W50" s="23" t="str">
        <f ca="1">INDIRECT(ADDRESS(89+(COLUMN()-5)/2,13,4,,"PSE"),1)</f>
        <v xml:space="preserve"> </v>
      </c>
      <c r="X50" s="22" t="str">
        <f ca="1">INDIRECT(ADDRESS(89+(COLUMN()-5)/2,7,4,,"PSE"),1)</f>
        <v>986 °C</v>
      </c>
      <c r="Y50" s="23" t="str">
        <f ca="1">INDIRECT(ADDRESS(89+(COLUMN()-5)/2,13,4,,"PSE"),1)</f>
        <v xml:space="preserve"> </v>
      </c>
      <c r="Z50" s="22" t="str">
        <f ca="1">INDIRECT(ADDRESS(89+(COLUMN()-5)/2,7,4,,"PSE"),1)</f>
        <v>900 °C</v>
      </c>
      <c r="AA50" s="23" t="str">
        <f ca="1">INDIRECT(ADDRESS(89+(COLUMN()-5)/2,13,4,,"PSE"),1)</f>
        <v xml:space="preserve"> </v>
      </c>
      <c r="AB50" s="22" t="str">
        <f ca="1">INDIRECT(ADDRESS(89+(COLUMN()-5)/2,7,4,,"PSE"),1)</f>
        <v>860 °C</v>
      </c>
      <c r="AC50" s="23" t="str">
        <f ca="1">INDIRECT(ADDRESS(89+(COLUMN()-5)/2,13,4,,"PSE"),1)</f>
        <v xml:space="preserve"> </v>
      </c>
      <c r="AD50" s="22" t="str">
        <f ca="1">INDIRECT(ADDRESS(89+(COLUMN()-5)/2,7,4,,"PSE"),1)</f>
        <v xml:space="preserve"> </v>
      </c>
      <c r="AE50" s="23" t="str">
        <f ca="1">INDIRECT(ADDRESS(89+(COLUMN()-5)/2,13,4,,"PSE"),1)</f>
        <v xml:space="preserve"> </v>
      </c>
      <c r="AF50" s="22" t="str">
        <f ca="1">INDIRECT(ADDRESS(89+(COLUMN()-5)/2,7,4,,"PSE"),1)</f>
        <v xml:space="preserve"> </v>
      </c>
      <c r="AG50" s="23" t="str">
        <f ca="1">INDIRECT(ADDRESS(89+(COLUMN()-5)/2,13,4,,"PSE"),1)</f>
        <v xml:space="preserve"> </v>
      </c>
      <c r="AH50" s="22" t="str">
        <f ca="1">INDIRECT(ADDRESS(89+(COLUMN()-5)/2,7,4,,"PSE"),1)</f>
        <v xml:space="preserve"> </v>
      </c>
      <c r="AK50" s="10"/>
      <c r="AL50" s="10"/>
    </row>
  </sheetData>
  <mergeCells count="157">
    <mergeCell ref="G2:Y3"/>
    <mergeCell ref="I20:J20"/>
    <mergeCell ref="K20:L20"/>
    <mergeCell ref="M20:N20"/>
    <mergeCell ref="O20:P20"/>
    <mergeCell ref="G30:H30"/>
    <mergeCell ref="Y35:Z35"/>
    <mergeCell ref="M25:N25"/>
    <mergeCell ref="AI30:AJ30"/>
    <mergeCell ref="AA34:AB34"/>
    <mergeCell ref="AC34:AD34"/>
    <mergeCell ref="AE34:AF34"/>
    <mergeCell ref="AG34:AH34"/>
    <mergeCell ref="AC25:AD25"/>
    <mergeCell ref="AA25:AB25"/>
    <mergeCell ref="N17:P17"/>
    <mergeCell ref="Y30:Z30"/>
    <mergeCell ref="AA20:AB20"/>
    <mergeCell ref="O30:P30"/>
    <mergeCell ref="AI25:AJ25"/>
    <mergeCell ref="G16:H16"/>
    <mergeCell ref="I16:J16"/>
    <mergeCell ref="K16:L16"/>
    <mergeCell ref="M16:N16"/>
    <mergeCell ref="AK34:AL34"/>
    <mergeCell ref="AE48:AF48"/>
    <mergeCell ref="AG48:AH48"/>
    <mergeCell ref="W48:X48"/>
    <mergeCell ref="Y48:Z48"/>
    <mergeCell ref="AA48:AB48"/>
    <mergeCell ref="AC48:AD48"/>
    <mergeCell ref="I43:J43"/>
    <mergeCell ref="I25:J25"/>
    <mergeCell ref="AG43:AH43"/>
    <mergeCell ref="I30:J30"/>
    <mergeCell ref="Y25:Z25"/>
    <mergeCell ref="O25:P25"/>
    <mergeCell ref="AK35:AL35"/>
    <mergeCell ref="AG35:AH35"/>
    <mergeCell ref="AI34:AJ34"/>
    <mergeCell ref="AI35:AJ35"/>
    <mergeCell ref="AK30:AL30"/>
    <mergeCell ref="AK25:AL25"/>
    <mergeCell ref="S25:T25"/>
    <mergeCell ref="Q25:R25"/>
    <mergeCell ref="W25:X25"/>
    <mergeCell ref="U25:V25"/>
    <mergeCell ref="M30:N30"/>
    <mergeCell ref="G43:H43"/>
    <mergeCell ref="AE43:AF43"/>
    <mergeCell ref="AC43:AD43"/>
    <mergeCell ref="AA43:AB43"/>
    <mergeCell ref="Y43:Z43"/>
    <mergeCell ref="W43:X43"/>
    <mergeCell ref="U43:V43"/>
    <mergeCell ref="Q43:R43"/>
    <mergeCell ref="O43:P43"/>
    <mergeCell ref="S43:T43"/>
    <mergeCell ref="G48:H48"/>
    <mergeCell ref="I48:J48"/>
    <mergeCell ref="Q48:R48"/>
    <mergeCell ref="S48:T48"/>
    <mergeCell ref="K48:L48"/>
    <mergeCell ref="U48:V48"/>
    <mergeCell ref="G35:H35"/>
    <mergeCell ref="B10:C10"/>
    <mergeCell ref="D10:E10"/>
    <mergeCell ref="B15:C15"/>
    <mergeCell ref="D15:E15"/>
    <mergeCell ref="B20:C20"/>
    <mergeCell ref="D20:E20"/>
    <mergeCell ref="G20:H20"/>
    <mergeCell ref="D25:E25"/>
    <mergeCell ref="B25:C25"/>
    <mergeCell ref="M43:N43"/>
    <mergeCell ref="K43:L43"/>
    <mergeCell ref="O48:P48"/>
    <mergeCell ref="M48:N48"/>
    <mergeCell ref="S35:T35"/>
    <mergeCell ref="U35:V35"/>
    <mergeCell ref="G25:H25"/>
    <mergeCell ref="K25:L25"/>
    <mergeCell ref="B35:C35"/>
    <mergeCell ref="D35:E35"/>
    <mergeCell ref="I35:J35"/>
    <mergeCell ref="M35:N35"/>
    <mergeCell ref="O35:P35"/>
    <mergeCell ref="Q35:R35"/>
    <mergeCell ref="K35:L35"/>
    <mergeCell ref="AG25:AH25"/>
    <mergeCell ref="AE25:AF25"/>
    <mergeCell ref="AG30:AH30"/>
    <mergeCell ref="AA35:AB35"/>
    <mergeCell ref="AC35:AD35"/>
    <mergeCell ref="AE35:AF35"/>
    <mergeCell ref="W35:X35"/>
    <mergeCell ref="AE30:AF30"/>
    <mergeCell ref="AA30:AB30"/>
    <mergeCell ref="Q30:R30"/>
    <mergeCell ref="AC30:AD30"/>
    <mergeCell ref="S30:T30"/>
    <mergeCell ref="U30:V30"/>
    <mergeCell ref="W30:X30"/>
    <mergeCell ref="B30:C30"/>
    <mergeCell ref="K30:L30"/>
    <mergeCell ref="D30:E30"/>
    <mergeCell ref="AK20:AL20"/>
    <mergeCell ref="AI20:AJ20"/>
    <mergeCell ref="Q20:R20"/>
    <mergeCell ref="S20:T20"/>
    <mergeCell ref="U20:V20"/>
    <mergeCell ref="W20:X20"/>
    <mergeCell ref="AC20:AD20"/>
    <mergeCell ref="AE20:AF20"/>
    <mergeCell ref="AG20:AH20"/>
    <mergeCell ref="Y20:Z20"/>
    <mergeCell ref="B4:C4"/>
    <mergeCell ref="AA15:AB15"/>
    <mergeCell ref="K10:L10"/>
    <mergeCell ref="B7:C7"/>
    <mergeCell ref="D7:E7"/>
    <mergeCell ref="K6:S7"/>
    <mergeCell ref="Q8:R9"/>
    <mergeCell ref="Q10:R12"/>
    <mergeCell ref="S8:T9"/>
    <mergeCell ref="S10:T12"/>
    <mergeCell ref="AA7:AB7"/>
    <mergeCell ref="AA5:AF6"/>
    <mergeCell ref="U8:V9"/>
    <mergeCell ref="M9:P9"/>
    <mergeCell ref="H9:J9"/>
    <mergeCell ref="AA10:AB10"/>
    <mergeCell ref="X10:Y10"/>
    <mergeCell ref="O16:P16"/>
    <mergeCell ref="Q16:R16"/>
    <mergeCell ref="S16:T16"/>
    <mergeCell ref="U16:V16"/>
    <mergeCell ref="W16:X16"/>
    <mergeCell ref="Y16:Z16"/>
    <mergeCell ref="K13:L13"/>
    <mergeCell ref="U10:V12"/>
    <mergeCell ref="AG15:AH15"/>
    <mergeCell ref="AK4:AL4"/>
    <mergeCell ref="AC15:AD15"/>
    <mergeCell ref="AK10:AL10"/>
    <mergeCell ref="AI7:AJ7"/>
    <mergeCell ref="AI10:AJ10"/>
    <mergeCell ref="AI15:AJ15"/>
    <mergeCell ref="AK15:AL15"/>
    <mergeCell ref="AK7:AL7"/>
    <mergeCell ref="AG7:AH7"/>
    <mergeCell ref="AE7:AF7"/>
    <mergeCell ref="AC7:AD7"/>
    <mergeCell ref="AE10:AF10"/>
    <mergeCell ref="AG10:AH10"/>
    <mergeCell ref="AC10:AD10"/>
    <mergeCell ref="AE15:AF15"/>
  </mergeCells>
  <phoneticPr fontId="0" type="noConversion"/>
  <printOptions horizontalCentered="1"/>
  <pageMargins left="7.874015748031496E-2" right="7.874015748031496E-2" top="0.59055118110236227" bottom="0.39370078740157483" header="0.51181102362204722" footer="0.51181102362204722"/>
  <pageSetup paperSize="9" scale="57"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codeName="Tabelle11"/>
  <dimension ref="A1:K114"/>
  <sheetViews>
    <sheetView view="pageLayout" zoomScale="200" zoomScaleNormal="100" zoomScalePageLayoutView="200" workbookViewId="0">
      <selection activeCell="G47" sqref="G47"/>
    </sheetView>
  </sheetViews>
  <sheetFormatPr baseColWidth="10" defaultColWidth="10.8984375" defaultRowHeight="13.2"/>
  <cols>
    <col min="1" max="1" width="3.3984375" style="29" customWidth="1"/>
    <col min="2" max="2" width="10.19921875" style="27" bestFit="1" customWidth="1"/>
    <col min="3" max="3" width="4.69921875" style="27" customWidth="1"/>
    <col min="4" max="4" width="3.3984375" style="28" customWidth="1"/>
    <col min="5" max="5" width="10.69921875" style="28" bestFit="1" customWidth="1"/>
    <col min="6" max="6" width="10.59765625" style="28" customWidth="1"/>
    <col min="7" max="7" width="3.3984375" style="28" customWidth="1"/>
    <col min="8" max="8" width="3.3984375" style="28" bestFit="1" customWidth="1"/>
    <col min="9" max="9" width="4.69921875" style="28" customWidth="1"/>
    <col min="10" max="10" width="3.3984375" style="28" customWidth="1"/>
    <col min="11" max="11" width="3.69921875" style="28" bestFit="1" customWidth="1"/>
    <col min="12" max="16384" width="10.8984375" style="28"/>
  </cols>
  <sheetData>
    <row r="1" spans="1:11" s="166" customFormat="1" ht="18" customHeight="1">
      <c r="A1" s="231" t="s">
        <v>710</v>
      </c>
      <c r="B1" s="232"/>
      <c r="C1" s="232"/>
      <c r="D1" s="232"/>
      <c r="E1" s="232"/>
      <c r="F1" s="232"/>
      <c r="G1" s="232"/>
      <c r="H1" s="232"/>
      <c r="I1" s="232"/>
      <c r="J1" s="232"/>
      <c r="K1" s="232"/>
    </row>
    <row r="2" spans="1:11" s="167" customFormat="1" ht="18" customHeight="1">
      <c r="A2" s="233" t="s">
        <v>711</v>
      </c>
      <c r="B2" s="234"/>
      <c r="C2" s="234"/>
      <c r="D2" s="234"/>
      <c r="E2" s="234"/>
      <c r="G2" s="233" t="s">
        <v>712</v>
      </c>
      <c r="H2" s="234"/>
      <c r="I2" s="234"/>
      <c r="J2" s="234"/>
      <c r="K2" s="234"/>
    </row>
    <row r="3" spans="1:11">
      <c r="A3" s="172">
        <v>89</v>
      </c>
      <c r="B3" s="168" t="s">
        <v>713</v>
      </c>
      <c r="D3" s="172">
        <v>109</v>
      </c>
      <c r="E3" s="169" t="s">
        <v>747</v>
      </c>
      <c r="F3" s="27"/>
      <c r="G3" s="28">
        <v>89</v>
      </c>
      <c r="H3" s="160" t="s">
        <v>401</v>
      </c>
      <c r="J3" s="179">
        <v>12</v>
      </c>
      <c r="K3" s="164" t="s">
        <v>1106</v>
      </c>
    </row>
    <row r="4" spans="1:11">
      <c r="A4" s="173">
        <v>13</v>
      </c>
      <c r="B4" s="169" t="s">
        <v>1111</v>
      </c>
      <c r="D4" s="173">
        <v>101</v>
      </c>
      <c r="E4" s="169" t="s">
        <v>428</v>
      </c>
      <c r="F4" s="27"/>
      <c r="G4" s="28">
        <v>47</v>
      </c>
      <c r="H4" s="160" t="s">
        <v>102</v>
      </c>
      <c r="J4" s="177">
        <v>25</v>
      </c>
      <c r="K4" s="164" t="s">
        <v>33</v>
      </c>
    </row>
    <row r="5" spans="1:11">
      <c r="A5" s="173">
        <v>95</v>
      </c>
      <c r="B5" s="169" t="s">
        <v>416</v>
      </c>
      <c r="D5" s="174">
        <v>42</v>
      </c>
      <c r="E5" s="170" t="s">
        <v>87</v>
      </c>
      <c r="F5" s="27"/>
      <c r="G5" s="28">
        <v>13</v>
      </c>
      <c r="H5" s="160" t="s">
        <v>1110</v>
      </c>
      <c r="J5" s="177">
        <v>42</v>
      </c>
      <c r="K5" s="164" t="s">
        <v>86</v>
      </c>
    </row>
    <row r="6" spans="1:11">
      <c r="A6" s="173">
        <v>51</v>
      </c>
      <c r="B6" s="169" t="s">
        <v>115</v>
      </c>
      <c r="D6" s="173">
        <v>11</v>
      </c>
      <c r="E6" s="168" t="s">
        <v>731</v>
      </c>
      <c r="F6" s="27"/>
      <c r="G6" s="28">
        <v>95</v>
      </c>
      <c r="H6" s="160" t="s">
        <v>415</v>
      </c>
      <c r="J6" s="180">
        <v>109</v>
      </c>
      <c r="K6" s="26" t="s">
        <v>441</v>
      </c>
    </row>
    <row r="7" spans="1:11">
      <c r="A7" s="173">
        <v>18</v>
      </c>
      <c r="B7" s="169" t="s">
        <v>10</v>
      </c>
      <c r="D7" s="173">
        <v>60</v>
      </c>
      <c r="E7" s="169" t="s">
        <v>317</v>
      </c>
      <c r="F7" s="27"/>
      <c r="G7" s="28">
        <v>18</v>
      </c>
      <c r="H7" s="160" t="s">
        <v>9</v>
      </c>
      <c r="J7" s="177">
        <v>7</v>
      </c>
      <c r="K7" s="164" t="s">
        <v>1091</v>
      </c>
    </row>
    <row r="8" spans="1:11">
      <c r="A8" s="173">
        <v>33</v>
      </c>
      <c r="B8" s="169" t="s">
        <v>59</v>
      </c>
      <c r="D8" s="173">
        <v>10</v>
      </c>
      <c r="E8" s="169" t="s">
        <v>1101</v>
      </c>
      <c r="F8" s="27"/>
      <c r="G8" s="28">
        <v>33</v>
      </c>
      <c r="H8" s="160" t="s">
        <v>58</v>
      </c>
      <c r="J8" s="177">
        <v>11</v>
      </c>
      <c r="K8" s="164" t="s">
        <v>1102</v>
      </c>
    </row>
    <row r="9" spans="1:11">
      <c r="A9" s="174">
        <v>85</v>
      </c>
      <c r="B9" s="170" t="s">
        <v>393</v>
      </c>
      <c r="D9" s="173">
        <v>93</v>
      </c>
      <c r="E9" s="169" t="s">
        <v>412</v>
      </c>
      <c r="F9" s="27"/>
      <c r="G9" s="28">
        <v>85</v>
      </c>
      <c r="H9" s="160" t="s">
        <v>392</v>
      </c>
      <c r="J9" s="177">
        <v>41</v>
      </c>
      <c r="K9" s="164" t="s">
        <v>83</v>
      </c>
    </row>
    <row r="10" spans="1:11">
      <c r="A10" s="173">
        <v>56</v>
      </c>
      <c r="B10" s="168" t="s">
        <v>715</v>
      </c>
      <c r="D10" s="173">
        <v>28</v>
      </c>
      <c r="E10" s="169" t="s">
        <v>43</v>
      </c>
      <c r="F10" s="27"/>
      <c r="G10" s="26">
        <v>79</v>
      </c>
      <c r="H10" s="163" t="s">
        <v>374</v>
      </c>
      <c r="J10" s="177">
        <v>60</v>
      </c>
      <c r="K10" s="164" t="s">
        <v>316</v>
      </c>
    </row>
    <row r="11" spans="1:11">
      <c r="A11" s="173">
        <v>97</v>
      </c>
      <c r="B11" s="169" t="s">
        <v>420</v>
      </c>
      <c r="D11" s="173">
        <v>41</v>
      </c>
      <c r="E11" s="169" t="s">
        <v>84</v>
      </c>
      <c r="F11" s="27"/>
      <c r="G11" s="28">
        <v>5</v>
      </c>
      <c r="H11" s="160" t="s">
        <v>1083</v>
      </c>
      <c r="J11" s="177">
        <v>10</v>
      </c>
      <c r="K11" s="164" t="s">
        <v>1100</v>
      </c>
    </row>
    <row r="12" spans="1:11">
      <c r="A12" s="173">
        <v>4</v>
      </c>
      <c r="B12" s="169" t="s">
        <v>1079</v>
      </c>
      <c r="D12" s="174">
        <v>102</v>
      </c>
      <c r="E12" s="170" t="s">
        <v>430</v>
      </c>
      <c r="F12" s="27"/>
      <c r="G12" s="28">
        <v>56</v>
      </c>
      <c r="H12" s="160" t="s">
        <v>129</v>
      </c>
      <c r="J12" s="177">
        <v>28</v>
      </c>
      <c r="K12" s="164" t="s">
        <v>42</v>
      </c>
    </row>
    <row r="13" spans="1:11">
      <c r="A13" s="173">
        <v>83</v>
      </c>
      <c r="B13" s="169" t="s">
        <v>387</v>
      </c>
      <c r="D13" s="174">
        <v>76</v>
      </c>
      <c r="E13" s="170" t="s">
        <v>1261</v>
      </c>
      <c r="F13" s="27"/>
      <c r="G13" s="28">
        <v>4</v>
      </c>
      <c r="H13" s="160" t="s">
        <v>1078</v>
      </c>
      <c r="J13" s="177">
        <v>102</v>
      </c>
      <c r="K13" s="164" t="s">
        <v>429</v>
      </c>
    </row>
    <row r="14" spans="1:11">
      <c r="A14" s="173">
        <v>82</v>
      </c>
      <c r="B14" s="169" t="s">
        <v>385</v>
      </c>
      <c r="D14" s="173">
        <v>46</v>
      </c>
      <c r="E14" s="168" t="s">
        <v>714</v>
      </c>
      <c r="F14" s="27"/>
      <c r="G14" s="28">
        <v>107</v>
      </c>
      <c r="H14" s="160" t="s">
        <v>439</v>
      </c>
      <c r="J14" s="180">
        <v>93</v>
      </c>
      <c r="K14" s="26" t="s">
        <v>411</v>
      </c>
    </row>
    <row r="15" spans="1:11">
      <c r="A15" s="173">
        <v>107</v>
      </c>
      <c r="B15" s="169" t="s">
        <v>745</v>
      </c>
      <c r="D15" s="173">
        <v>15</v>
      </c>
      <c r="E15" s="169" t="s">
        <v>1119</v>
      </c>
      <c r="F15" s="27"/>
      <c r="G15" s="28">
        <v>83</v>
      </c>
      <c r="H15" s="160" t="s">
        <v>386</v>
      </c>
      <c r="J15" s="177">
        <v>8</v>
      </c>
      <c r="K15" s="164" t="s">
        <v>1094</v>
      </c>
    </row>
    <row r="16" spans="1:11">
      <c r="A16" s="173">
        <v>5</v>
      </c>
      <c r="B16" s="169" t="s">
        <v>1084</v>
      </c>
      <c r="D16" s="173">
        <v>78</v>
      </c>
      <c r="E16" s="169" t="s">
        <v>372</v>
      </c>
      <c r="F16" s="27"/>
      <c r="G16" s="28">
        <v>97</v>
      </c>
      <c r="H16" s="160" t="s">
        <v>419</v>
      </c>
      <c r="J16" s="180">
        <v>76</v>
      </c>
      <c r="K16" s="26" t="s">
        <v>365</v>
      </c>
    </row>
    <row r="17" spans="1:11">
      <c r="A17" s="174">
        <v>35</v>
      </c>
      <c r="B17" s="170" t="s">
        <v>65</v>
      </c>
      <c r="D17" s="173">
        <v>94</v>
      </c>
      <c r="E17" s="169" t="s">
        <v>414</v>
      </c>
      <c r="F17" s="27"/>
      <c r="G17" s="26">
        <v>35</v>
      </c>
      <c r="H17" s="163" t="s">
        <v>64</v>
      </c>
      <c r="J17" s="177">
        <v>15</v>
      </c>
      <c r="K17" s="164" t="s">
        <v>1118</v>
      </c>
    </row>
    <row r="18" spans="1:11">
      <c r="A18" s="173">
        <v>48</v>
      </c>
      <c r="B18" s="168" t="s">
        <v>716</v>
      </c>
      <c r="D18" s="173">
        <v>84</v>
      </c>
      <c r="E18" s="169" t="s">
        <v>391</v>
      </c>
      <c r="F18" s="27"/>
      <c r="G18" s="28">
        <v>6</v>
      </c>
      <c r="H18" s="160" t="s">
        <v>1087</v>
      </c>
      <c r="J18" s="177">
        <v>91</v>
      </c>
      <c r="K18" s="164" t="s">
        <v>406</v>
      </c>
    </row>
    <row r="19" spans="1:11">
      <c r="A19" s="173">
        <v>20</v>
      </c>
      <c r="B19" s="169" t="s">
        <v>16</v>
      </c>
      <c r="D19" s="173">
        <v>59</v>
      </c>
      <c r="E19" s="169" t="s">
        <v>313</v>
      </c>
      <c r="F19" s="27"/>
      <c r="G19" s="28">
        <v>20</v>
      </c>
      <c r="H19" s="160" t="s">
        <v>15</v>
      </c>
      <c r="J19" s="177">
        <v>82</v>
      </c>
      <c r="K19" s="164" t="s">
        <v>384</v>
      </c>
    </row>
    <row r="20" spans="1:11">
      <c r="A20" s="173">
        <v>98</v>
      </c>
      <c r="B20" s="169" t="s">
        <v>422</v>
      </c>
      <c r="D20" s="173">
        <v>61</v>
      </c>
      <c r="E20" s="169" t="s">
        <v>320</v>
      </c>
      <c r="F20" s="27"/>
      <c r="G20" s="28">
        <v>48</v>
      </c>
      <c r="H20" s="160" t="s">
        <v>105</v>
      </c>
      <c r="J20" s="177">
        <v>46</v>
      </c>
      <c r="K20" s="164" t="s">
        <v>99</v>
      </c>
    </row>
    <row r="21" spans="1:11">
      <c r="A21" s="173">
        <v>55</v>
      </c>
      <c r="B21" s="169" t="s">
        <v>767</v>
      </c>
      <c r="D21" s="174">
        <v>91</v>
      </c>
      <c r="E21" s="170" t="s">
        <v>407</v>
      </c>
      <c r="F21" s="27"/>
      <c r="G21" s="28">
        <v>58</v>
      </c>
      <c r="H21" s="160" t="s">
        <v>310</v>
      </c>
      <c r="J21" s="177">
        <v>61</v>
      </c>
      <c r="K21" s="164" t="s">
        <v>319</v>
      </c>
    </row>
    <row r="22" spans="1:11">
      <c r="A22" s="173">
        <v>58</v>
      </c>
      <c r="B22" s="169" t="s">
        <v>311</v>
      </c>
      <c r="D22" s="174">
        <v>80</v>
      </c>
      <c r="E22" s="170" t="s">
        <v>1262</v>
      </c>
      <c r="F22" s="27"/>
      <c r="G22" s="28">
        <v>98</v>
      </c>
      <c r="H22" s="160" t="s">
        <v>421</v>
      </c>
      <c r="J22" s="177">
        <v>84</v>
      </c>
      <c r="K22" s="164" t="s">
        <v>390</v>
      </c>
    </row>
    <row r="23" spans="1:11">
      <c r="A23" s="173">
        <v>17</v>
      </c>
      <c r="B23" s="169" t="s">
        <v>1127</v>
      </c>
      <c r="D23" s="173">
        <v>88</v>
      </c>
      <c r="E23" s="168" t="s">
        <v>717</v>
      </c>
      <c r="F23" s="27"/>
      <c r="G23" s="28">
        <v>17</v>
      </c>
      <c r="H23" s="160" t="s">
        <v>1126</v>
      </c>
      <c r="J23" s="177">
        <v>59</v>
      </c>
      <c r="K23" s="164" t="s">
        <v>312</v>
      </c>
    </row>
    <row r="24" spans="1:11">
      <c r="A24" s="173">
        <v>24</v>
      </c>
      <c r="B24" s="169" t="s">
        <v>30</v>
      </c>
      <c r="D24" s="173">
        <v>86</v>
      </c>
      <c r="E24" s="169" t="s">
        <v>395</v>
      </c>
      <c r="F24" s="27"/>
      <c r="G24" s="28">
        <v>96</v>
      </c>
      <c r="H24" s="160" t="s">
        <v>417</v>
      </c>
      <c r="J24" s="177">
        <v>78</v>
      </c>
      <c r="K24" s="164" t="s">
        <v>371</v>
      </c>
    </row>
    <row r="25" spans="1:11">
      <c r="A25" s="173">
        <v>27</v>
      </c>
      <c r="B25" s="169" t="s">
        <v>40</v>
      </c>
      <c r="D25" s="177">
        <v>111</v>
      </c>
      <c r="E25" s="164" t="s">
        <v>750</v>
      </c>
      <c r="F25" s="27"/>
      <c r="G25" s="28">
        <v>112</v>
      </c>
      <c r="H25" s="160" t="s">
        <v>1248</v>
      </c>
      <c r="J25" s="180">
        <v>94</v>
      </c>
      <c r="K25" s="26" t="s">
        <v>413</v>
      </c>
    </row>
    <row r="26" spans="1:11">
      <c r="A26" s="173">
        <v>112</v>
      </c>
      <c r="B26" s="169" t="s">
        <v>1238</v>
      </c>
      <c r="D26" s="173">
        <v>75</v>
      </c>
      <c r="E26" s="169" t="s">
        <v>363</v>
      </c>
      <c r="F26" s="27"/>
      <c r="G26" s="28">
        <v>27</v>
      </c>
      <c r="H26" s="160" t="s">
        <v>39</v>
      </c>
      <c r="J26" s="177">
        <v>88</v>
      </c>
      <c r="K26" s="164" t="s">
        <v>399</v>
      </c>
    </row>
    <row r="27" spans="1:11">
      <c r="A27" s="174">
        <v>96</v>
      </c>
      <c r="B27" s="170" t="s">
        <v>418</v>
      </c>
      <c r="D27" s="173">
        <v>45</v>
      </c>
      <c r="E27" s="169" t="s">
        <v>97</v>
      </c>
      <c r="F27" s="27"/>
      <c r="G27" s="28">
        <v>24</v>
      </c>
      <c r="H27" s="160" t="s">
        <v>29</v>
      </c>
      <c r="J27" s="177">
        <v>37</v>
      </c>
      <c r="K27" s="164" t="s">
        <v>69</v>
      </c>
    </row>
    <row r="28" spans="1:11">
      <c r="A28" s="173">
        <v>110</v>
      </c>
      <c r="B28" s="168" t="s">
        <v>766</v>
      </c>
      <c r="D28" s="173">
        <v>37</v>
      </c>
      <c r="E28" s="169" t="s">
        <v>70</v>
      </c>
      <c r="F28" s="27"/>
      <c r="G28" s="28">
        <v>55</v>
      </c>
      <c r="H28" s="160" t="s">
        <v>126</v>
      </c>
      <c r="J28" s="177">
        <v>75</v>
      </c>
      <c r="K28" s="164" t="s">
        <v>362</v>
      </c>
    </row>
    <row r="29" spans="1:11">
      <c r="A29" s="173">
        <v>105</v>
      </c>
      <c r="B29" s="169" t="s">
        <v>744</v>
      </c>
      <c r="D29" s="173">
        <v>44</v>
      </c>
      <c r="E29" s="169" t="s">
        <v>93</v>
      </c>
      <c r="F29" s="27"/>
      <c r="G29" s="26">
        <v>29</v>
      </c>
      <c r="H29" s="163" t="s">
        <v>45</v>
      </c>
      <c r="J29" s="177">
        <v>104</v>
      </c>
      <c r="K29" s="164" t="s">
        <v>433</v>
      </c>
    </row>
    <row r="30" spans="1:11">
      <c r="A30" s="174">
        <v>66</v>
      </c>
      <c r="B30" s="170" t="s">
        <v>719</v>
      </c>
      <c r="D30" s="174">
        <v>104</v>
      </c>
      <c r="E30" s="170" t="s">
        <v>434</v>
      </c>
      <c r="F30" s="27"/>
      <c r="G30" s="28">
        <v>105</v>
      </c>
      <c r="H30" s="160" t="s">
        <v>436</v>
      </c>
      <c r="J30" s="177">
        <v>111</v>
      </c>
      <c r="K30" s="164" t="s">
        <v>751</v>
      </c>
    </row>
    <row r="31" spans="1:11">
      <c r="A31" s="173">
        <v>99</v>
      </c>
      <c r="B31" s="168" t="s">
        <v>720</v>
      </c>
      <c r="D31" s="173">
        <v>62</v>
      </c>
      <c r="E31" s="168" t="s">
        <v>718</v>
      </c>
      <c r="F31" s="27"/>
      <c r="G31" s="26">
        <v>66</v>
      </c>
      <c r="H31" s="163" t="s">
        <v>335</v>
      </c>
      <c r="J31" s="177">
        <v>45</v>
      </c>
      <c r="K31" s="164" t="s">
        <v>96</v>
      </c>
    </row>
    <row r="32" spans="1:11">
      <c r="A32" s="173">
        <v>26</v>
      </c>
      <c r="B32" s="169" t="s">
        <v>37</v>
      </c>
      <c r="D32" s="173">
        <v>8</v>
      </c>
      <c r="E32" s="169" t="s">
        <v>1095</v>
      </c>
      <c r="F32" s="27"/>
      <c r="G32" s="28">
        <v>68</v>
      </c>
      <c r="H32" s="160" t="s">
        <v>341</v>
      </c>
      <c r="J32" s="177">
        <v>86</v>
      </c>
      <c r="K32" s="164" t="s">
        <v>394</v>
      </c>
    </row>
    <row r="33" spans="1:11">
      <c r="A33" s="173">
        <v>68</v>
      </c>
      <c r="B33" s="169" t="s">
        <v>342</v>
      </c>
      <c r="D33" s="173">
        <v>21</v>
      </c>
      <c r="E33" s="169" t="s">
        <v>20</v>
      </c>
      <c r="F33" s="27"/>
      <c r="G33" s="28">
        <v>99</v>
      </c>
      <c r="H33" s="160" t="s">
        <v>423</v>
      </c>
      <c r="J33" s="180">
        <v>44</v>
      </c>
      <c r="K33" s="26" t="s">
        <v>92</v>
      </c>
    </row>
    <row r="34" spans="1:11">
      <c r="A34" s="174">
        <v>63</v>
      </c>
      <c r="B34" s="170" t="s">
        <v>326</v>
      </c>
      <c r="D34" s="173">
        <v>16</v>
      </c>
      <c r="E34" s="169" t="s">
        <v>1124</v>
      </c>
      <c r="F34" s="27"/>
      <c r="G34" s="26">
        <v>63</v>
      </c>
      <c r="H34" s="163" t="s">
        <v>325</v>
      </c>
      <c r="J34" s="177">
        <v>16</v>
      </c>
      <c r="K34" s="164" t="s">
        <v>1123</v>
      </c>
    </row>
    <row r="35" spans="1:11">
      <c r="A35" s="173">
        <v>100</v>
      </c>
      <c r="B35" s="169" t="s">
        <v>1260</v>
      </c>
      <c r="D35" s="173">
        <v>106</v>
      </c>
      <c r="E35" s="169" t="s">
        <v>438</v>
      </c>
      <c r="F35" s="27"/>
      <c r="G35" s="28">
        <v>9</v>
      </c>
      <c r="H35" s="160" t="s">
        <v>1097</v>
      </c>
      <c r="J35" s="177">
        <v>51</v>
      </c>
      <c r="K35" s="164" t="s">
        <v>114</v>
      </c>
    </row>
    <row r="36" spans="1:11">
      <c r="A36" s="175">
        <v>114</v>
      </c>
      <c r="B36" s="171" t="s">
        <v>1256</v>
      </c>
      <c r="D36" s="173">
        <v>34</v>
      </c>
      <c r="E36" s="169" t="s">
        <v>62</v>
      </c>
      <c r="F36" s="27"/>
      <c r="G36" s="28">
        <v>26</v>
      </c>
      <c r="H36" s="160" t="s">
        <v>36</v>
      </c>
      <c r="J36" s="177">
        <v>21</v>
      </c>
      <c r="K36" s="164" t="s">
        <v>19</v>
      </c>
    </row>
    <row r="37" spans="1:11">
      <c r="A37" s="173">
        <v>9</v>
      </c>
      <c r="B37" s="169" t="s">
        <v>1098</v>
      </c>
      <c r="D37" s="173">
        <v>47</v>
      </c>
      <c r="E37" s="169" t="s">
        <v>103</v>
      </c>
      <c r="F37" s="27"/>
      <c r="G37" s="159">
        <v>114</v>
      </c>
      <c r="H37" s="161" t="s">
        <v>1255</v>
      </c>
      <c r="J37" s="177">
        <v>34</v>
      </c>
      <c r="K37" s="164" t="s">
        <v>61</v>
      </c>
    </row>
    <row r="38" spans="1:11">
      <c r="A38" s="174">
        <v>87</v>
      </c>
      <c r="B38" s="170" t="s">
        <v>397</v>
      </c>
      <c r="D38" s="173">
        <v>14</v>
      </c>
      <c r="E38" s="169" t="s">
        <v>1115</v>
      </c>
      <c r="F38" s="27"/>
      <c r="G38" s="28">
        <v>100</v>
      </c>
      <c r="H38" s="160" t="s">
        <v>425</v>
      </c>
      <c r="J38" s="177">
        <v>106</v>
      </c>
      <c r="K38" s="164" t="s">
        <v>437</v>
      </c>
    </row>
    <row r="39" spans="1:11">
      <c r="A39" s="173">
        <v>64</v>
      </c>
      <c r="B39" s="168" t="s">
        <v>721</v>
      </c>
      <c r="D39" s="173">
        <v>7</v>
      </c>
      <c r="E39" s="169" t="s">
        <v>1092</v>
      </c>
      <c r="F39" s="27"/>
      <c r="G39" s="26">
        <v>87</v>
      </c>
      <c r="H39" s="163" t="s">
        <v>396</v>
      </c>
      <c r="J39" s="177">
        <v>14</v>
      </c>
      <c r="K39" s="164" t="s">
        <v>1114</v>
      </c>
    </row>
    <row r="40" spans="1:11">
      <c r="A40" s="173">
        <v>31</v>
      </c>
      <c r="B40" s="169" t="s">
        <v>54</v>
      </c>
      <c r="D40" s="174">
        <v>38</v>
      </c>
      <c r="E40" s="170" t="s">
        <v>73</v>
      </c>
      <c r="F40" s="27"/>
      <c r="G40" s="28">
        <v>31</v>
      </c>
      <c r="H40" s="160" t="s">
        <v>53</v>
      </c>
      <c r="J40" s="177">
        <v>62</v>
      </c>
      <c r="K40" s="164" t="s">
        <v>322</v>
      </c>
    </row>
    <row r="41" spans="1:11">
      <c r="A41" s="173">
        <v>32</v>
      </c>
      <c r="B41" s="169" t="s">
        <v>56</v>
      </c>
      <c r="D41" s="173">
        <v>73</v>
      </c>
      <c r="E41" s="168" t="s">
        <v>722</v>
      </c>
      <c r="F41" s="27"/>
      <c r="G41" s="28">
        <v>64</v>
      </c>
      <c r="H41" s="160" t="s">
        <v>328</v>
      </c>
      <c r="J41" s="177">
        <v>50</v>
      </c>
      <c r="K41" s="164" t="s">
        <v>111</v>
      </c>
    </row>
    <row r="42" spans="1:11">
      <c r="A42" s="174">
        <v>79</v>
      </c>
      <c r="B42" s="170" t="s">
        <v>375</v>
      </c>
      <c r="D42" s="173">
        <v>43</v>
      </c>
      <c r="E42" s="169" t="s">
        <v>90</v>
      </c>
      <c r="F42" s="27"/>
      <c r="G42" s="26">
        <v>32</v>
      </c>
      <c r="H42" s="163" t="s">
        <v>55</v>
      </c>
      <c r="J42" s="180">
        <v>38</v>
      </c>
      <c r="K42" s="26" t="s">
        <v>72</v>
      </c>
    </row>
    <row r="43" spans="1:11">
      <c r="A43" s="173">
        <v>72</v>
      </c>
      <c r="B43" s="168" t="s">
        <v>723</v>
      </c>
      <c r="D43" s="173">
        <v>52</v>
      </c>
      <c r="E43" s="169" t="s">
        <v>118</v>
      </c>
      <c r="F43" s="27"/>
      <c r="G43" s="28">
        <v>1</v>
      </c>
      <c r="H43" s="160" t="s">
        <v>1065</v>
      </c>
      <c r="J43" s="177">
        <v>73</v>
      </c>
      <c r="K43" s="164" t="s">
        <v>356</v>
      </c>
    </row>
    <row r="44" spans="1:11">
      <c r="A44" s="173">
        <v>2</v>
      </c>
      <c r="B44" s="169" t="s">
        <v>1072</v>
      </c>
      <c r="D44" s="173">
        <v>65</v>
      </c>
      <c r="E44" s="169" t="s">
        <v>333</v>
      </c>
      <c r="F44" s="27"/>
      <c r="G44" s="28">
        <v>2</v>
      </c>
      <c r="H44" s="160" t="s">
        <v>1071</v>
      </c>
      <c r="J44" s="177">
        <v>65</v>
      </c>
      <c r="K44" s="164" t="s">
        <v>332</v>
      </c>
    </row>
    <row r="45" spans="1:11">
      <c r="A45" s="174">
        <v>67</v>
      </c>
      <c r="B45" s="170" t="s">
        <v>339</v>
      </c>
      <c r="D45" s="173">
        <v>81</v>
      </c>
      <c r="E45" s="169" t="s">
        <v>381</v>
      </c>
      <c r="F45" s="27"/>
      <c r="G45" s="28">
        <v>72</v>
      </c>
      <c r="H45" s="160" t="s">
        <v>353</v>
      </c>
      <c r="J45" s="177">
        <v>43</v>
      </c>
      <c r="K45" s="164" t="s">
        <v>89</v>
      </c>
    </row>
    <row r="46" spans="1:11">
      <c r="A46" s="173">
        <v>49</v>
      </c>
      <c r="B46" s="168" t="s">
        <v>724</v>
      </c>
      <c r="D46" s="173">
        <v>90</v>
      </c>
      <c r="E46" s="169" t="s">
        <v>404</v>
      </c>
      <c r="F46" s="27"/>
      <c r="G46" s="28">
        <v>80</v>
      </c>
      <c r="H46" s="160" t="s">
        <v>377</v>
      </c>
      <c r="J46" s="177">
        <v>52</v>
      </c>
      <c r="K46" s="164" t="s">
        <v>117</v>
      </c>
    </row>
    <row r="47" spans="1:11">
      <c r="A47" s="173">
        <v>53</v>
      </c>
      <c r="B47" s="169" t="s">
        <v>121</v>
      </c>
      <c r="D47" s="173">
        <v>69</v>
      </c>
      <c r="E47" s="169" t="s">
        <v>345</v>
      </c>
      <c r="F47" s="27"/>
      <c r="G47" s="28">
        <v>67</v>
      </c>
      <c r="H47" s="160" t="s">
        <v>338</v>
      </c>
      <c r="J47" s="177">
        <v>90</v>
      </c>
      <c r="K47" s="164" t="s">
        <v>403</v>
      </c>
    </row>
    <row r="48" spans="1:11">
      <c r="A48" s="174">
        <v>77</v>
      </c>
      <c r="B48" s="170" t="s">
        <v>369</v>
      </c>
      <c r="D48" s="174">
        <v>22</v>
      </c>
      <c r="E48" s="170" t="s">
        <v>23</v>
      </c>
      <c r="F48" s="27"/>
      <c r="G48" s="26">
        <v>108</v>
      </c>
      <c r="H48" s="163" t="s">
        <v>440</v>
      </c>
      <c r="J48" s="177">
        <v>22</v>
      </c>
      <c r="K48" s="164" t="s">
        <v>22</v>
      </c>
    </row>
    <row r="49" spans="1:11">
      <c r="A49" s="173">
        <v>19</v>
      </c>
      <c r="B49" s="168" t="s">
        <v>725</v>
      </c>
      <c r="D49" s="178">
        <v>113</v>
      </c>
      <c r="E49" s="176" t="s">
        <v>1259</v>
      </c>
      <c r="F49" s="27"/>
      <c r="G49" s="28">
        <v>53</v>
      </c>
      <c r="H49" s="160" t="s">
        <v>994</v>
      </c>
      <c r="J49" s="177">
        <v>81</v>
      </c>
      <c r="K49" s="164" t="s">
        <v>380</v>
      </c>
    </row>
    <row r="50" spans="1:11">
      <c r="A50" s="173">
        <v>6</v>
      </c>
      <c r="B50" s="169" t="s">
        <v>1088</v>
      </c>
      <c r="D50" s="174">
        <v>92</v>
      </c>
      <c r="E50" s="170" t="s">
        <v>1263</v>
      </c>
      <c r="G50" s="28">
        <v>49</v>
      </c>
      <c r="H50" s="160" t="s">
        <v>107</v>
      </c>
      <c r="J50" s="180">
        <v>69</v>
      </c>
      <c r="K50" s="26" t="s">
        <v>344</v>
      </c>
    </row>
    <row r="51" spans="1:11">
      <c r="A51" s="173">
        <v>36</v>
      </c>
      <c r="B51" s="169" t="s">
        <v>68</v>
      </c>
      <c r="D51" s="174">
        <v>23</v>
      </c>
      <c r="E51" s="170" t="s">
        <v>1264</v>
      </c>
      <c r="G51" s="26">
        <v>77</v>
      </c>
      <c r="H51" s="163" t="s">
        <v>368</v>
      </c>
      <c r="J51" s="177">
        <v>92</v>
      </c>
      <c r="K51" s="164" t="s">
        <v>408</v>
      </c>
    </row>
    <row r="52" spans="1:11">
      <c r="A52" s="174">
        <v>29</v>
      </c>
      <c r="B52" s="170" t="s">
        <v>46</v>
      </c>
      <c r="D52" s="173">
        <v>1</v>
      </c>
      <c r="E52" s="168" t="s">
        <v>726</v>
      </c>
      <c r="G52" s="28">
        <v>19</v>
      </c>
      <c r="H52" s="160" t="s">
        <v>11</v>
      </c>
      <c r="J52" s="181">
        <v>113</v>
      </c>
      <c r="K52" s="165" t="s">
        <v>753</v>
      </c>
    </row>
    <row r="53" spans="1:11">
      <c r="A53" s="173">
        <v>57</v>
      </c>
      <c r="B53" s="168" t="s">
        <v>728</v>
      </c>
      <c r="D53" s="174">
        <v>74</v>
      </c>
      <c r="E53" s="170" t="s">
        <v>359</v>
      </c>
      <c r="G53" s="28">
        <v>36</v>
      </c>
      <c r="H53" s="160" t="s">
        <v>67</v>
      </c>
      <c r="J53" s="180">
        <v>23</v>
      </c>
      <c r="K53" s="26" t="s">
        <v>25</v>
      </c>
    </row>
    <row r="54" spans="1:11">
      <c r="A54" s="173">
        <v>103</v>
      </c>
      <c r="B54" s="169" t="s">
        <v>432</v>
      </c>
      <c r="D54" s="174">
        <v>54</v>
      </c>
      <c r="E54" s="170" t="s">
        <v>1265</v>
      </c>
      <c r="G54" s="26">
        <v>57</v>
      </c>
      <c r="H54" s="163" t="s">
        <v>308</v>
      </c>
      <c r="J54" s="180">
        <v>74</v>
      </c>
      <c r="K54" s="26" t="s">
        <v>358</v>
      </c>
    </row>
    <row r="55" spans="1:11">
      <c r="A55" s="173">
        <v>3</v>
      </c>
      <c r="B55" s="169" t="s">
        <v>1075</v>
      </c>
      <c r="D55" s="173">
        <v>70</v>
      </c>
      <c r="E55" s="168" t="s">
        <v>727</v>
      </c>
      <c r="G55" s="28">
        <v>3</v>
      </c>
      <c r="H55" s="160" t="s">
        <v>1074</v>
      </c>
      <c r="J55" s="180">
        <v>54</v>
      </c>
      <c r="K55" s="26" t="s">
        <v>124</v>
      </c>
    </row>
    <row r="56" spans="1:11">
      <c r="A56" s="175">
        <v>116</v>
      </c>
      <c r="B56" s="171" t="s">
        <v>1257</v>
      </c>
      <c r="D56" s="174">
        <v>39</v>
      </c>
      <c r="E56" s="170" t="s">
        <v>77</v>
      </c>
      <c r="G56" s="28">
        <v>71</v>
      </c>
      <c r="H56" s="160" t="s">
        <v>350</v>
      </c>
      <c r="J56" s="177">
        <v>39</v>
      </c>
      <c r="K56" s="164" t="s">
        <v>76</v>
      </c>
    </row>
    <row r="57" spans="1:11">
      <c r="A57" s="174">
        <v>71</v>
      </c>
      <c r="B57" s="170" t="s">
        <v>351</v>
      </c>
      <c r="D57" s="173">
        <v>30</v>
      </c>
      <c r="E57" s="168" t="s">
        <v>729</v>
      </c>
      <c r="G57" s="159">
        <v>116</v>
      </c>
      <c r="H57" s="161" t="s">
        <v>1258</v>
      </c>
      <c r="J57" s="180">
        <v>70</v>
      </c>
      <c r="K57" s="26" t="s">
        <v>347</v>
      </c>
    </row>
    <row r="58" spans="1:11">
      <c r="A58" s="173">
        <v>12</v>
      </c>
      <c r="B58" s="168" t="s">
        <v>730</v>
      </c>
      <c r="D58" s="173">
        <v>50</v>
      </c>
      <c r="E58" s="169" t="s">
        <v>112</v>
      </c>
      <c r="G58" s="26">
        <v>103</v>
      </c>
      <c r="H58" s="163" t="s">
        <v>431</v>
      </c>
      <c r="J58" s="177">
        <v>30</v>
      </c>
      <c r="K58" s="164" t="s">
        <v>49</v>
      </c>
    </row>
    <row r="59" spans="1:11">
      <c r="A59" s="173">
        <v>25</v>
      </c>
      <c r="B59" s="169" t="s">
        <v>34</v>
      </c>
      <c r="D59" s="173">
        <v>40</v>
      </c>
      <c r="E59" s="169" t="s">
        <v>81</v>
      </c>
      <c r="G59" s="28">
        <v>101</v>
      </c>
      <c r="H59" s="160" t="s">
        <v>427</v>
      </c>
      <c r="J59" s="177">
        <v>40</v>
      </c>
      <c r="K59" s="164" t="s">
        <v>80</v>
      </c>
    </row>
    <row r="61" spans="1:11">
      <c r="A61" s="28"/>
      <c r="B61" s="28"/>
    </row>
    <row r="62" spans="1:11">
      <c r="A62" s="28"/>
      <c r="B62" s="28"/>
    </row>
    <row r="63" spans="1:11">
      <c r="A63" s="28"/>
      <c r="B63" s="28"/>
      <c r="C63" s="28"/>
    </row>
    <row r="64" spans="1:11">
      <c r="A64" s="28"/>
      <c r="B64" s="28"/>
      <c r="C64" s="28"/>
    </row>
    <row r="65" spans="1:3">
      <c r="A65" s="28"/>
      <c r="B65" s="28"/>
      <c r="C65" s="28"/>
    </row>
    <row r="66" spans="1:3">
      <c r="A66" s="28"/>
      <c r="B66" s="28"/>
      <c r="C66" s="28"/>
    </row>
    <row r="67" spans="1:3">
      <c r="A67" s="28"/>
      <c r="B67" s="28"/>
      <c r="C67" s="28"/>
    </row>
    <row r="68" spans="1:3">
      <c r="A68" s="28"/>
      <c r="B68" s="28"/>
      <c r="C68" s="28"/>
    </row>
    <row r="69" spans="1:3">
      <c r="A69" s="28"/>
      <c r="B69" s="28"/>
      <c r="C69" s="28"/>
    </row>
    <row r="70" spans="1:3">
      <c r="A70" s="28"/>
      <c r="B70" s="28"/>
      <c r="C70" s="28"/>
    </row>
    <row r="71" spans="1:3">
      <c r="A71" s="28"/>
      <c r="B71" s="28"/>
      <c r="C71" s="28"/>
    </row>
    <row r="72" spans="1:3">
      <c r="A72" s="28"/>
      <c r="B72" s="28"/>
      <c r="C72" s="28"/>
    </row>
    <row r="73" spans="1:3">
      <c r="A73" s="28"/>
      <c r="B73" s="28"/>
      <c r="C73" s="28"/>
    </row>
    <row r="74" spans="1:3">
      <c r="A74" s="28"/>
      <c r="B74" s="28"/>
      <c r="C74" s="28"/>
    </row>
    <row r="75" spans="1:3">
      <c r="A75" s="28"/>
      <c r="B75" s="28"/>
      <c r="C75" s="28"/>
    </row>
    <row r="76" spans="1:3">
      <c r="A76" s="28"/>
      <c r="B76" s="28"/>
      <c r="C76" s="28"/>
    </row>
    <row r="77" spans="1:3">
      <c r="A77" s="28"/>
      <c r="B77" s="28"/>
      <c r="C77" s="28"/>
    </row>
    <row r="78" spans="1:3">
      <c r="A78" s="28"/>
      <c r="B78" s="28"/>
      <c r="C78" s="28"/>
    </row>
    <row r="79" spans="1:3">
      <c r="A79" s="28"/>
      <c r="B79" s="28"/>
      <c r="C79" s="28"/>
    </row>
    <row r="80" spans="1:3">
      <c r="A80" s="28"/>
      <c r="B80" s="28"/>
      <c r="C80" s="28"/>
    </row>
    <row r="81" spans="1:3">
      <c r="A81" s="28"/>
      <c r="B81" s="28"/>
      <c r="C81" s="28"/>
    </row>
    <row r="82" spans="1:3">
      <c r="A82" s="28"/>
      <c r="B82" s="28"/>
      <c r="C82" s="28"/>
    </row>
    <row r="83" spans="1:3">
      <c r="A83" s="28"/>
      <c r="B83" s="28"/>
      <c r="C83" s="28"/>
    </row>
    <row r="84" spans="1:3">
      <c r="A84" s="28"/>
      <c r="B84" s="28"/>
      <c r="C84" s="28"/>
    </row>
    <row r="85" spans="1:3">
      <c r="A85" s="28"/>
      <c r="B85" s="28"/>
      <c r="C85" s="28"/>
    </row>
    <row r="86" spans="1:3">
      <c r="A86" s="28"/>
      <c r="B86" s="28"/>
      <c r="C86" s="28"/>
    </row>
    <row r="87" spans="1:3">
      <c r="A87" s="28"/>
      <c r="B87" s="28"/>
      <c r="C87" s="28"/>
    </row>
    <row r="88" spans="1:3">
      <c r="A88" s="28"/>
      <c r="B88" s="28"/>
      <c r="C88" s="28"/>
    </row>
    <row r="89" spans="1:3">
      <c r="A89" s="28"/>
      <c r="B89" s="28"/>
      <c r="C89" s="28"/>
    </row>
    <row r="90" spans="1:3">
      <c r="A90" s="28"/>
      <c r="B90" s="28"/>
      <c r="C90" s="28"/>
    </row>
    <row r="91" spans="1:3">
      <c r="A91" s="28"/>
      <c r="B91" s="28"/>
      <c r="C91" s="28"/>
    </row>
    <row r="92" spans="1:3">
      <c r="A92" s="28"/>
      <c r="B92" s="28"/>
      <c r="C92" s="28"/>
    </row>
    <row r="93" spans="1:3">
      <c r="A93" s="28"/>
      <c r="B93" s="28"/>
      <c r="C93" s="28"/>
    </row>
    <row r="94" spans="1:3">
      <c r="A94" s="28"/>
      <c r="B94" s="28"/>
      <c r="C94" s="28"/>
    </row>
    <row r="95" spans="1:3">
      <c r="A95" s="28"/>
      <c r="B95" s="28"/>
      <c r="C95" s="28"/>
    </row>
    <row r="96" spans="1:3">
      <c r="A96" s="28"/>
      <c r="B96" s="28"/>
      <c r="C96" s="28"/>
    </row>
    <row r="97" spans="1:3">
      <c r="A97" s="28"/>
      <c r="B97" s="28"/>
      <c r="C97" s="28"/>
    </row>
    <row r="98" spans="1:3">
      <c r="A98" s="28"/>
      <c r="B98" s="28"/>
      <c r="C98" s="28"/>
    </row>
    <row r="99" spans="1:3">
      <c r="A99" s="28"/>
      <c r="B99" s="28"/>
      <c r="C99" s="28"/>
    </row>
    <row r="100" spans="1:3">
      <c r="A100" s="28"/>
      <c r="B100" s="28"/>
      <c r="C100" s="28"/>
    </row>
    <row r="101" spans="1:3">
      <c r="A101" s="28"/>
      <c r="B101" s="28"/>
      <c r="C101" s="28"/>
    </row>
    <row r="102" spans="1:3">
      <c r="A102" s="28"/>
      <c r="B102" s="28"/>
      <c r="C102" s="28"/>
    </row>
    <row r="103" spans="1:3">
      <c r="A103" s="28"/>
      <c r="B103" s="28"/>
      <c r="C103" s="28"/>
    </row>
    <row r="104" spans="1:3">
      <c r="A104" s="28"/>
      <c r="B104" s="28"/>
      <c r="C104" s="28"/>
    </row>
    <row r="105" spans="1:3">
      <c r="A105" s="28"/>
      <c r="B105" s="28"/>
      <c r="C105" s="28"/>
    </row>
    <row r="106" spans="1:3">
      <c r="A106" s="28"/>
      <c r="B106" s="28"/>
      <c r="C106" s="28"/>
    </row>
    <row r="107" spans="1:3">
      <c r="A107" s="28"/>
      <c r="B107" s="28"/>
      <c r="C107" s="28"/>
    </row>
    <row r="108" spans="1:3">
      <c r="A108" s="28"/>
      <c r="B108" s="28"/>
      <c r="C108" s="28"/>
    </row>
    <row r="109" spans="1:3">
      <c r="A109" s="28"/>
      <c r="B109" s="28"/>
      <c r="C109" s="28"/>
    </row>
    <row r="110" spans="1:3">
      <c r="A110" s="28"/>
      <c r="B110" s="28"/>
      <c r="C110" s="28"/>
    </row>
    <row r="111" spans="1:3">
      <c r="A111" s="28"/>
      <c r="B111" s="28"/>
      <c r="C111" s="28"/>
    </row>
    <row r="112" spans="1:3">
      <c r="A112" s="28"/>
      <c r="B112" s="28"/>
      <c r="C112" s="28"/>
    </row>
    <row r="113" spans="1:3">
      <c r="A113" s="28"/>
      <c r="B113" s="28"/>
      <c r="C113" s="28"/>
    </row>
    <row r="114" spans="1:3">
      <c r="A114" s="28"/>
      <c r="B114" s="28"/>
      <c r="C114" s="28"/>
    </row>
  </sheetData>
  <mergeCells count="3">
    <mergeCell ref="A1:K1"/>
    <mergeCell ref="G2:K2"/>
    <mergeCell ref="A2:E2"/>
  </mergeCells>
  <phoneticPr fontId="0" type="noConversion"/>
  <printOptions horizontalCentered="1" verticalCentered="1"/>
  <pageMargins left="0.98425196850393704" right="0.78740157480314965" top="0.39370078740157483"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dimension ref="A1:N549"/>
  <sheetViews>
    <sheetView topLeftCell="A523" workbookViewId="0">
      <selection activeCell="A2" sqref="A2"/>
    </sheetView>
  </sheetViews>
  <sheetFormatPr baseColWidth="10" defaultRowHeight="15.9" customHeight="1"/>
  <cols>
    <col min="1" max="1" width="2.8984375" bestFit="1" customWidth="1"/>
    <col min="2" max="2" width="3.59765625" style="83" bestFit="1" customWidth="1"/>
    <col min="3" max="3" width="3.8984375" bestFit="1" customWidth="1"/>
    <col min="4" max="6" width="13.3984375" customWidth="1"/>
    <col min="7" max="7" width="12.19921875" customWidth="1"/>
    <col min="10" max="13" width="11" hidden="1" customWidth="1"/>
  </cols>
  <sheetData>
    <row r="1" spans="1:14" ht="15.9" customHeight="1">
      <c r="A1" t="s">
        <v>1054</v>
      </c>
      <c r="B1" s="80"/>
      <c r="C1" t="s">
        <v>1055</v>
      </c>
      <c r="D1" t="s">
        <v>1190</v>
      </c>
      <c r="E1" t="s">
        <v>1189</v>
      </c>
      <c r="F1" t="s">
        <v>1176</v>
      </c>
      <c r="G1" t="s">
        <v>1053</v>
      </c>
      <c r="N1" s="47" t="s">
        <v>1203</v>
      </c>
    </row>
    <row r="2" spans="1:14" ht="15.9" customHeight="1">
      <c r="A2">
        <v>1</v>
      </c>
      <c r="B2" s="80" t="s">
        <v>1065</v>
      </c>
      <c r="C2" s="73">
        <v>0</v>
      </c>
      <c r="D2" t="s">
        <v>1066</v>
      </c>
      <c r="E2" t="s">
        <v>1175</v>
      </c>
      <c r="G2" t="str">
        <f>CONCATENATE("[","http://atom.kaeri.re.kr/cgi-bin/nuclide?nuc=",B2,"-",C2," &lt;sub&gt;",C2,"&lt;/sub&gt;",B2,"]")</f>
        <v>[http://atom.kaeri.re.kr/cgi-bin/nuclide?nuc=H-0 &lt;sub&gt;0&lt;/sub&gt;H]</v>
      </c>
      <c r="N2" t="str">
        <f>CONCATENATE("=== [[",D2,"]] ===&lt;br&gt;{| {{tabelle}}&lt;br&gt;! Isotop !! ",$D$1," !! [[",$E$1,"]] !! ",$F$1," &lt;br&gt; |-")</f>
        <v>=== [[Wasserstoff]] ===&lt;br&gt;{| {{tabelle}}&lt;br&gt;! Isotop !! natürliche Häufigkeit !! [[Halbwertszeit]] !! Herkunft, techn. Bedeutung &lt;br&gt; |-</v>
      </c>
    </row>
    <row r="3" spans="1:14" ht="15.9" customHeight="1">
      <c r="A3" s="73">
        <v>1</v>
      </c>
      <c r="B3" s="81" t="s">
        <v>1065</v>
      </c>
      <c r="C3" s="73">
        <v>1</v>
      </c>
      <c r="D3" s="73">
        <v>99.988500000000002</v>
      </c>
      <c r="E3" t="s">
        <v>1175</v>
      </c>
      <c r="G3" t="str">
        <f>CONCATENATE("[","http://atom.kaeri.re.kr/cgi-bin/nuclide?nuc=",B3,"-",C3," &lt;sub&gt;",C3,"&lt;/sub&gt;",B3,"]")</f>
        <v>[http://atom.kaeri.re.kr/cgi-bin/nuclide?nuc=H-1 &lt;sub&gt;1&lt;/sub&gt;H]</v>
      </c>
      <c r="H3" t="str">
        <f>CONCATENATE(D3," % || ",E3)</f>
        <v>99,9885 % || stabil</v>
      </c>
      <c r="I3" t="str">
        <f>CONCATENATE(" | ",G3," || ",H3," || ",F3)</f>
        <v xml:space="preserve"> | [http://atom.kaeri.re.kr/cgi-bin/nuclide?nuc=H-1 &lt;sub&gt;1&lt;/sub&gt;H] || 99,9885 % || stabil || </v>
      </c>
      <c r="N3" t="str">
        <f>CONCATENATE(I3,"&lt;br&gt;"," |-")</f>
        <v xml:space="preserve"> | [http://atom.kaeri.re.kr/cgi-bin/nuclide?nuc=H-1 &lt;sub&gt;1&lt;/sub&gt;H] || 99,9885 % || stabil || &lt;br&gt; |-</v>
      </c>
    </row>
    <row r="4" spans="1:14" ht="15.9" customHeight="1">
      <c r="A4" s="73">
        <v>1</v>
      </c>
      <c r="B4" s="81" t="s">
        <v>1065</v>
      </c>
      <c r="C4" s="73">
        <v>2</v>
      </c>
      <c r="D4" s="73">
        <v>1.15E-2</v>
      </c>
      <c r="E4" t="s">
        <v>1175</v>
      </c>
      <c r="G4" t="str">
        <f>CONCATENATE("[","http://atom.kaeri.re.kr/cgi-bin/nuclide?nuc=",B4,"-",C4," &lt;sub&gt;",C4,"&lt;/sub&gt;",B4,"]")</f>
        <v>[http://atom.kaeri.re.kr/cgi-bin/nuclide?nuc=H-2 &lt;sub&gt;2&lt;/sub&gt;H]</v>
      </c>
      <c r="H4" t="str">
        <f>CONCATENATE(D4," % || ",E4)</f>
        <v>0,0115 % || stabil</v>
      </c>
      <c r="I4" t="str">
        <f>CONCATENATE(" | ",G4," || ",H4," || ",F4)</f>
        <v xml:space="preserve"> | [http://atom.kaeri.re.kr/cgi-bin/nuclide?nuc=H-2 &lt;sub&gt;2&lt;/sub&gt;H] || 0,0115 % || stabil || </v>
      </c>
      <c r="N4" t="str">
        <f>CONCATENATE(I4,"&lt;br&gt;"," |-")</f>
        <v xml:space="preserve"> | [http://atom.kaeri.re.kr/cgi-bin/nuclide?nuc=H-2 &lt;sub&gt;2&lt;/sub&gt;H] || 0,0115 % || stabil || &lt;br&gt; |-</v>
      </c>
    </row>
    <row r="5" spans="1:14" s="78" customFormat="1" ht="15.9" customHeight="1">
      <c r="A5" s="73">
        <v>1</v>
      </c>
      <c r="B5" s="82" t="s">
        <v>1065</v>
      </c>
      <c r="C5" s="79">
        <v>3</v>
      </c>
      <c r="D5" s="85">
        <v>1.0000000000000001E-17</v>
      </c>
      <c r="E5" t="s">
        <v>1129</v>
      </c>
      <c r="F5" t="s">
        <v>1201</v>
      </c>
      <c r="G5" t="str">
        <f>CONCATENATE("[","http://atom.kaeri.re.kr/cgi-bin/nuclide?nuc=",B5,"-",C5," &lt;sub&gt;",C5,"&lt;/sub&gt;",B5,"]")</f>
        <v>[http://atom.kaeri.re.kr/cgi-bin/nuclide?nuc=H-3 &lt;sub&gt;3&lt;/sub&gt;H]</v>
      </c>
      <c r="H5" t="str">
        <f>CONCATENATE(D5," % || ",E5)</f>
        <v>0,00000000000000001 % || 12,3 Jahre</v>
      </c>
      <c r="I5" t="str">
        <f>CONCATENATE(" | ",G5," || ",H5," || ",F5)</f>
        <v xml:space="preserve"> | [http://atom.kaeri.re.kr/cgi-bin/nuclide?nuc=H-3 &lt;sub&gt;3&lt;/sub&gt;H] || 0,00000000000000001 % || 12,3 Jahre || [[radioaktiv]], kosmogen, Kernwaffenfallout, Leuchtfarben, Kerntechnik</v>
      </c>
      <c r="J5"/>
      <c r="K5"/>
      <c r="L5"/>
      <c r="M5"/>
      <c r="N5" t="str">
        <f>CONCATENATE(I5,"&lt;br&gt;"," |-")</f>
        <v xml:space="preserve"> | [http://atom.kaeri.re.kr/cgi-bin/nuclide?nuc=H-3 &lt;sub&gt;3&lt;/sub&gt;H] || 0,00000000000000001 % || 12,3 Jahre || [[radioaktiv]], kosmogen, Kernwaffenfallout, Leuchtfarben, Kerntechnik&lt;br&gt; |-</v>
      </c>
    </row>
    <row r="6" spans="1:14" ht="15.9" customHeight="1">
      <c r="A6">
        <v>1</v>
      </c>
      <c r="B6" s="83" t="s">
        <v>1065</v>
      </c>
      <c r="C6">
        <v>999</v>
      </c>
      <c r="D6" t="s">
        <v>1066</v>
      </c>
      <c r="E6" t="s">
        <v>1175</v>
      </c>
      <c r="N6" t="str">
        <f>CONCATENATE(" |}&lt;br&gt;* [http://atom.kaeri.re.kr/cgi-bin/nuclide?nuc=",B6," alle bekannten ",D6,"-Isotope]")</f>
        <v xml:space="preserve"> |}&lt;br&gt;* [http://atom.kaeri.re.kr/cgi-bin/nuclide?nuc=H alle bekannten Wasserstoff-Isotope]</v>
      </c>
    </row>
    <row r="7" spans="1:14" ht="15.9" customHeight="1">
      <c r="A7">
        <v>2</v>
      </c>
      <c r="B7" s="83" t="s">
        <v>1071</v>
      </c>
      <c r="C7" s="73">
        <v>0</v>
      </c>
      <c r="D7" t="s">
        <v>1072</v>
      </c>
      <c r="E7" t="s">
        <v>1175</v>
      </c>
      <c r="N7" t="str">
        <f>CONCATENATE("=== [[",D7,"]] ===&lt;br&gt;{| {{tabelle}}&lt;br&gt;! Isotop !! ",$D$1," !! [[",$E$1,"]] !! ",$F$1," &lt;br&gt; |-")</f>
        <v>=== [[Helium]] ===&lt;br&gt;{| {{tabelle}}&lt;br&gt;! Isotop !! natürliche Häufigkeit !! [[Halbwertszeit]] !! Herkunft, techn. Bedeutung &lt;br&gt; |-</v>
      </c>
    </row>
    <row r="8" spans="1:14" ht="15.9" customHeight="1">
      <c r="A8" s="73">
        <v>2</v>
      </c>
      <c r="B8" s="81" t="s">
        <v>1071</v>
      </c>
      <c r="C8" s="73">
        <v>3</v>
      </c>
      <c r="D8" s="73">
        <v>1.37E-4</v>
      </c>
      <c r="E8" t="s">
        <v>1175</v>
      </c>
      <c r="G8" t="str">
        <f>CONCATENATE("[","http://atom.kaeri.re.kr/cgi-bin/nuclide?nuc=",B8,"-",C8," &lt;sub&gt;",C8,"&lt;/sub&gt;",B8,"]")</f>
        <v>[http://atom.kaeri.re.kr/cgi-bin/nuclide?nuc=He-3 &lt;sub&gt;3&lt;/sub&gt;He]</v>
      </c>
      <c r="H8" t="str">
        <f>CONCATENATE(D8," % || ",E8)</f>
        <v>0,000137 % || stabil</v>
      </c>
      <c r="I8" t="str">
        <f>CONCATENATE(" | ",G8," || ",H8," || ",F8)</f>
        <v xml:space="preserve"> | [http://atom.kaeri.re.kr/cgi-bin/nuclide?nuc=He-3 &lt;sub&gt;3&lt;/sub&gt;He] || 0,000137 % || stabil || </v>
      </c>
      <c r="N8" t="str">
        <f>CONCATENATE(I8,"&lt;br&gt;"," |-")</f>
        <v xml:space="preserve"> | [http://atom.kaeri.re.kr/cgi-bin/nuclide?nuc=He-3 &lt;sub&gt;3&lt;/sub&gt;He] || 0,000137 % || stabil || &lt;br&gt; |-</v>
      </c>
    </row>
    <row r="9" spans="1:14" ht="15.9" customHeight="1">
      <c r="A9" s="73">
        <v>2</v>
      </c>
      <c r="B9" s="81" t="s">
        <v>1071</v>
      </c>
      <c r="C9" s="73">
        <v>4</v>
      </c>
      <c r="D9" s="73">
        <v>99.999863000000005</v>
      </c>
      <c r="E9" t="s">
        <v>1175</v>
      </c>
      <c r="G9" t="str">
        <f>CONCATENATE("[","http://atom.kaeri.re.kr/cgi-bin/nuclide?nuc=",B9,"-",C9," &lt;sub&gt;",C9,"&lt;/sub&gt;",B9,"]")</f>
        <v>[http://atom.kaeri.re.kr/cgi-bin/nuclide?nuc=He-4 &lt;sub&gt;4&lt;/sub&gt;He]</v>
      </c>
      <c r="H9" t="str">
        <f>CONCATENATE(D9," % || ",E9)</f>
        <v>99,999863 % || stabil</v>
      </c>
      <c r="I9" t="str">
        <f>CONCATENATE(" | ",G9," || ",H9," || ",F9)</f>
        <v xml:space="preserve"> | [http://atom.kaeri.re.kr/cgi-bin/nuclide?nuc=He-4 &lt;sub&gt;4&lt;/sub&gt;He] || 99,999863 % || stabil || </v>
      </c>
      <c r="N9" t="str">
        <f>CONCATENATE(I9,"&lt;br&gt;"," |-")</f>
        <v xml:space="preserve"> | [http://atom.kaeri.re.kr/cgi-bin/nuclide?nuc=He-4 &lt;sub&gt;4&lt;/sub&gt;He] || 99,999863 % || stabil || &lt;br&gt; |-</v>
      </c>
    </row>
    <row r="10" spans="1:14" ht="15.9" customHeight="1">
      <c r="A10">
        <v>2</v>
      </c>
      <c r="B10" s="83" t="s">
        <v>1071</v>
      </c>
      <c r="C10">
        <v>999</v>
      </c>
      <c r="D10" t="s">
        <v>1072</v>
      </c>
      <c r="E10" t="s">
        <v>1175</v>
      </c>
      <c r="N10" t="str">
        <f>CONCATENATE(" |}&lt;br&gt;* [http://atom.kaeri.re.kr/cgi-bin/nuclide?nuc=",B10," alle bekannten ",D10,"-Isotope]")</f>
        <v xml:space="preserve"> |}&lt;br&gt;* [http://atom.kaeri.re.kr/cgi-bin/nuclide?nuc=He alle bekannten Helium-Isotope]</v>
      </c>
    </row>
    <row r="11" spans="1:14" ht="15.9" customHeight="1">
      <c r="A11">
        <v>3</v>
      </c>
      <c r="B11" s="83" t="s">
        <v>1074</v>
      </c>
      <c r="C11" s="73">
        <v>0</v>
      </c>
      <c r="D11" t="s">
        <v>1075</v>
      </c>
      <c r="E11" t="s">
        <v>1175</v>
      </c>
      <c r="N11" t="str">
        <f>CONCATENATE("=== [[",D11,"]] ===&lt;br&gt;{| {{tabelle}}&lt;br&gt;! Isotop !! ",$D$1," !! [[",$E$1,"]] !! ",$F$1," &lt;br&gt; |-")</f>
        <v>=== [[Lithium]] ===&lt;br&gt;{| {{tabelle}}&lt;br&gt;! Isotop !! natürliche Häufigkeit !! [[Halbwertszeit]] !! Herkunft, techn. Bedeutung &lt;br&gt; |-</v>
      </c>
    </row>
    <row r="12" spans="1:14" ht="15.9" customHeight="1">
      <c r="A12" s="73">
        <v>3</v>
      </c>
      <c r="B12" s="81" t="s">
        <v>1074</v>
      </c>
      <c r="C12" s="73">
        <v>6</v>
      </c>
      <c r="D12" s="73">
        <v>7.59</v>
      </c>
      <c r="E12" t="s">
        <v>1175</v>
      </c>
      <c r="G12" t="str">
        <f>CONCATENATE("[","http://atom.kaeri.re.kr/cgi-bin/nuclide?nuc=",B12,"-",C12," &lt;sub&gt;",C12,"&lt;/sub&gt;",B12,"]")</f>
        <v>[http://atom.kaeri.re.kr/cgi-bin/nuclide?nuc=Li-6 &lt;sub&gt;6&lt;/sub&gt;Li]</v>
      </c>
      <c r="H12" t="str">
        <f>CONCATENATE(D12," % || ",E12)</f>
        <v>7,59 % || stabil</v>
      </c>
      <c r="I12" t="str">
        <f>CONCATENATE(" | ",G12," || ",H12," || ",F12)</f>
        <v xml:space="preserve"> | [http://atom.kaeri.re.kr/cgi-bin/nuclide?nuc=Li-6 &lt;sub&gt;6&lt;/sub&gt;Li] || 7,59 % || stabil || </v>
      </c>
      <c r="N12" t="str">
        <f>CONCATENATE(I12,"&lt;br&gt;"," |-")</f>
        <v xml:space="preserve"> | [http://atom.kaeri.re.kr/cgi-bin/nuclide?nuc=Li-6 &lt;sub&gt;6&lt;/sub&gt;Li] || 7,59 % || stabil || &lt;br&gt; |-</v>
      </c>
    </row>
    <row r="13" spans="1:14" ht="15.9" customHeight="1">
      <c r="A13" s="73">
        <v>3</v>
      </c>
      <c r="B13" s="81" t="s">
        <v>1074</v>
      </c>
      <c r="C13" s="73">
        <v>7</v>
      </c>
      <c r="D13" s="73">
        <v>92.41</v>
      </c>
      <c r="E13" t="s">
        <v>1175</v>
      </c>
      <c r="G13" t="str">
        <f>CONCATENATE("[","http://atom.kaeri.re.kr/cgi-bin/nuclide?nuc=",B13,"-",C13," &lt;sub&gt;",C13,"&lt;/sub&gt;",B13,"]")</f>
        <v>[http://atom.kaeri.re.kr/cgi-bin/nuclide?nuc=Li-7 &lt;sub&gt;7&lt;/sub&gt;Li]</v>
      </c>
      <c r="H13" t="str">
        <f>CONCATENATE(D13," % || ",E13)</f>
        <v>92,41 % || stabil</v>
      </c>
      <c r="I13" t="str">
        <f>CONCATENATE(" | ",G13," || ",H13," || ",F13)</f>
        <v xml:space="preserve"> | [http://atom.kaeri.re.kr/cgi-bin/nuclide?nuc=Li-7 &lt;sub&gt;7&lt;/sub&gt;Li] || 92,41 % || stabil || </v>
      </c>
      <c r="N13" t="str">
        <f>CONCATENATE(I13,"&lt;br&gt;"," |-")</f>
        <v xml:space="preserve"> | [http://atom.kaeri.re.kr/cgi-bin/nuclide?nuc=Li-7 &lt;sub&gt;7&lt;/sub&gt;Li] || 92,41 % || stabil || &lt;br&gt; |-</v>
      </c>
    </row>
    <row r="14" spans="1:14" ht="15.9" customHeight="1">
      <c r="A14">
        <v>3</v>
      </c>
      <c r="B14" s="83" t="s">
        <v>1074</v>
      </c>
      <c r="C14">
        <v>999</v>
      </c>
      <c r="D14" t="s">
        <v>1075</v>
      </c>
      <c r="E14" t="s">
        <v>1175</v>
      </c>
      <c r="N14" t="str">
        <f>CONCATENATE(" |}&lt;br&gt;* [http://atom.kaeri.re.kr/cgi-bin/nuclide?nuc=",B14," alle bekannten ",D14,"-Isotope]")</f>
        <v xml:space="preserve"> |}&lt;br&gt;* [http://atom.kaeri.re.kr/cgi-bin/nuclide?nuc=Li alle bekannten Lithium-Isotope]</v>
      </c>
    </row>
    <row r="15" spans="1:14" ht="15.9" customHeight="1">
      <c r="A15">
        <v>4</v>
      </c>
      <c r="B15" s="83" t="s">
        <v>1078</v>
      </c>
      <c r="C15" s="73">
        <v>0</v>
      </c>
      <c r="D15" t="s">
        <v>1079</v>
      </c>
      <c r="E15" t="s">
        <v>1175</v>
      </c>
      <c r="N15" t="str">
        <f>CONCATENATE("=== [[",D15,"]] ===&lt;br&gt;{| {{tabelle}}&lt;br&gt;! Isotop !! ",$D$1," !! [[",$E$1,"]] !! ",$F$1," &lt;br&gt; |-")</f>
        <v>=== [[Beryllium]] ===&lt;br&gt;{| {{tabelle}}&lt;br&gt;! Isotop !! natürliche Häufigkeit !! [[Halbwertszeit]] !! Herkunft, techn. Bedeutung &lt;br&gt; |-</v>
      </c>
    </row>
    <row r="16" spans="1:14" s="78" customFormat="1" ht="15.9" customHeight="1">
      <c r="A16">
        <v>4</v>
      </c>
      <c r="B16" s="82" t="s">
        <v>1078</v>
      </c>
      <c r="C16" s="79">
        <v>7</v>
      </c>
      <c r="D16" s="78" t="s">
        <v>1068</v>
      </c>
      <c r="E16" t="s">
        <v>1130</v>
      </c>
      <c r="F16" t="s">
        <v>1200</v>
      </c>
      <c r="G16" t="str">
        <f>CONCATENATE("[","http://atom.kaeri.re.kr/cgi-bin/nuclide?nuc=",B16,"-",C16," &lt;sub&gt;",C16,"&lt;/sub&gt;",B16,"]")</f>
        <v>[http://atom.kaeri.re.kr/cgi-bin/nuclide?nuc=Be-7 &lt;sub&gt;7&lt;/sub&gt;Be]</v>
      </c>
      <c r="H16" t="str">
        <f>CONCATENATE(D16," % || ",E16)</f>
        <v>- % || 53 Tage</v>
      </c>
      <c r="I16" t="str">
        <f>CONCATENATE(" | ",G16," || ",H16," || ",F16)</f>
        <v xml:space="preserve"> | [http://atom.kaeri.re.kr/cgi-bin/nuclide?nuc=Be-7 &lt;sub&gt;7&lt;/sub&gt;Be] || - % || 53 Tage || [[radioaktiv]], kosmogen</v>
      </c>
      <c r="J16"/>
      <c r="K16"/>
      <c r="L16"/>
      <c r="M16"/>
      <c r="N16" t="str">
        <f>CONCATENATE(I16,"&lt;br&gt;"," |-")</f>
        <v xml:space="preserve"> | [http://atom.kaeri.re.kr/cgi-bin/nuclide?nuc=Be-7 &lt;sub&gt;7&lt;/sub&gt;Be] || - % || 53 Tage || [[radioaktiv]], kosmogen&lt;br&gt; |-</v>
      </c>
    </row>
    <row r="17" spans="1:14" ht="15.9" customHeight="1">
      <c r="A17" s="73">
        <v>4</v>
      </c>
      <c r="B17" s="81" t="s">
        <v>1078</v>
      </c>
      <c r="C17" s="73">
        <v>9</v>
      </c>
      <c r="D17" s="73">
        <v>100</v>
      </c>
      <c r="E17" t="s">
        <v>1175</v>
      </c>
      <c r="G17" t="str">
        <f>CONCATENATE("[","http://atom.kaeri.re.kr/cgi-bin/nuclide?nuc=",B17,"-",C17," &lt;sub&gt;",C17,"&lt;/sub&gt;",B17,"]")</f>
        <v>[http://atom.kaeri.re.kr/cgi-bin/nuclide?nuc=Be-9 &lt;sub&gt;9&lt;/sub&gt;Be]</v>
      </c>
      <c r="H17" t="str">
        <f>CONCATENATE(D17," % || ",E17)</f>
        <v>100 % || stabil</v>
      </c>
      <c r="I17" t="str">
        <f>CONCATENATE(" | ",G17," || ",H17," || ",F17)</f>
        <v xml:space="preserve"> | [http://atom.kaeri.re.kr/cgi-bin/nuclide?nuc=Be-9 &lt;sub&gt;9&lt;/sub&gt;Be] || 100 % || stabil || </v>
      </c>
      <c r="N17" t="str">
        <f>CONCATENATE(I17,"&lt;br&gt;"," |-")</f>
        <v xml:space="preserve"> | [http://atom.kaeri.re.kr/cgi-bin/nuclide?nuc=Be-9 &lt;sub&gt;9&lt;/sub&gt;Be] || 100 % || stabil || &lt;br&gt; |-</v>
      </c>
    </row>
    <row r="18" spans="1:14" ht="15.9" customHeight="1">
      <c r="A18">
        <v>4</v>
      </c>
      <c r="B18" s="83" t="s">
        <v>1078</v>
      </c>
      <c r="C18">
        <v>999</v>
      </c>
      <c r="D18" t="s">
        <v>1079</v>
      </c>
      <c r="E18" t="s">
        <v>1175</v>
      </c>
      <c r="N18" t="str">
        <f>CONCATENATE(" |}&lt;br&gt;* [http://atom.kaeri.re.kr/cgi-bin/nuclide?nuc=",B18," alle bekannten ",D18,"-Isotope]")</f>
        <v xml:space="preserve"> |}&lt;br&gt;* [http://atom.kaeri.re.kr/cgi-bin/nuclide?nuc=Be alle bekannten Beryllium-Isotope]</v>
      </c>
    </row>
    <row r="19" spans="1:14" ht="15.9" customHeight="1">
      <c r="A19">
        <v>5</v>
      </c>
      <c r="B19" s="83" t="s">
        <v>1083</v>
      </c>
      <c r="C19" s="73">
        <v>0</v>
      </c>
      <c r="D19" t="s">
        <v>1084</v>
      </c>
      <c r="E19" t="s">
        <v>1175</v>
      </c>
      <c r="N19" t="str">
        <f>CONCATENATE("=== [[",D19,"]] ===&lt;br&gt;{| {{tabelle}}&lt;br&gt;! Isotop !! ",$D$1," !! [[",$E$1,"]] !! ",$F$1," &lt;br&gt; |-")</f>
        <v>=== [[Bor]] ===&lt;br&gt;{| {{tabelle}}&lt;br&gt;! Isotop !! natürliche Häufigkeit !! [[Halbwertszeit]] !! Herkunft, techn. Bedeutung &lt;br&gt; |-</v>
      </c>
    </row>
    <row r="20" spans="1:14" ht="15.9" customHeight="1">
      <c r="A20" s="73">
        <v>5</v>
      </c>
      <c r="B20" s="81" t="s">
        <v>1083</v>
      </c>
      <c r="C20" s="73">
        <v>10</v>
      </c>
      <c r="D20" s="73">
        <v>19.899999999999999</v>
      </c>
      <c r="E20" t="s">
        <v>1175</v>
      </c>
      <c r="G20" t="str">
        <f>CONCATENATE("[","http://atom.kaeri.re.kr/cgi-bin/nuclide?nuc=",B20,"-",C20," &lt;sub&gt;",C20,"&lt;/sub&gt;",B20,"]")</f>
        <v>[http://atom.kaeri.re.kr/cgi-bin/nuclide?nuc=B-10 &lt;sub&gt;10&lt;/sub&gt;B]</v>
      </c>
      <c r="H20" t="str">
        <f>CONCATENATE(D20," % || ",E20)</f>
        <v>19,9 % || stabil</v>
      </c>
      <c r="I20" t="str">
        <f>CONCATENATE(" | ",G20," || ",H20," || ",F20)</f>
        <v xml:space="preserve"> | [http://atom.kaeri.re.kr/cgi-bin/nuclide?nuc=B-10 &lt;sub&gt;10&lt;/sub&gt;B] || 19,9 % || stabil || </v>
      </c>
      <c r="N20" t="str">
        <f>CONCATENATE(I20,"&lt;br&gt;"," |-")</f>
        <v xml:space="preserve"> | [http://atom.kaeri.re.kr/cgi-bin/nuclide?nuc=B-10 &lt;sub&gt;10&lt;/sub&gt;B] || 19,9 % || stabil || &lt;br&gt; |-</v>
      </c>
    </row>
    <row r="21" spans="1:14" ht="15.9" customHeight="1">
      <c r="A21" s="73">
        <v>5</v>
      </c>
      <c r="B21" s="81" t="s">
        <v>1083</v>
      </c>
      <c r="C21" s="73">
        <v>11</v>
      </c>
      <c r="D21" s="73">
        <v>80.099999999999994</v>
      </c>
      <c r="E21" t="s">
        <v>1175</v>
      </c>
      <c r="G21" t="str">
        <f>CONCATENATE("[","http://atom.kaeri.re.kr/cgi-bin/nuclide?nuc=",B21,"-",C21," &lt;sub&gt;",C21,"&lt;/sub&gt;",B21,"]")</f>
        <v>[http://atom.kaeri.re.kr/cgi-bin/nuclide?nuc=B-11 &lt;sub&gt;11&lt;/sub&gt;B]</v>
      </c>
      <c r="H21" t="str">
        <f>CONCATENATE(D21," % || ",E21)</f>
        <v>80,1 % || stabil</v>
      </c>
      <c r="I21" t="str">
        <f>CONCATENATE(" | ",G21," || ",H21," || ",F21)</f>
        <v xml:space="preserve"> | [http://atom.kaeri.re.kr/cgi-bin/nuclide?nuc=B-11 &lt;sub&gt;11&lt;/sub&gt;B] || 80,1 % || stabil || </v>
      </c>
      <c r="N21" t="str">
        <f>CONCATENATE(I21,"&lt;br&gt;"," |-")</f>
        <v xml:space="preserve"> | [http://atom.kaeri.re.kr/cgi-bin/nuclide?nuc=B-11 &lt;sub&gt;11&lt;/sub&gt;B] || 80,1 % || stabil || &lt;br&gt; |-</v>
      </c>
    </row>
    <row r="22" spans="1:14" ht="15.9" customHeight="1">
      <c r="A22">
        <v>5</v>
      </c>
      <c r="B22" s="83" t="s">
        <v>1083</v>
      </c>
      <c r="C22">
        <v>999</v>
      </c>
      <c r="D22" t="s">
        <v>1084</v>
      </c>
      <c r="E22" t="s">
        <v>1175</v>
      </c>
      <c r="N22" t="str">
        <f>CONCATENATE(" |}&lt;br&gt;* [http://atom.kaeri.re.kr/cgi-bin/nuclide?nuc=",B22," alle bekannten ",D22,"-Isotope]")</f>
        <v xml:space="preserve"> |}&lt;br&gt;* [http://atom.kaeri.re.kr/cgi-bin/nuclide?nuc=B alle bekannten Bor-Isotope]</v>
      </c>
    </row>
    <row r="23" spans="1:14" ht="15.9" customHeight="1">
      <c r="A23">
        <v>6</v>
      </c>
      <c r="B23" s="83" t="s">
        <v>1087</v>
      </c>
      <c r="C23" s="73">
        <v>0</v>
      </c>
      <c r="D23" t="s">
        <v>1088</v>
      </c>
      <c r="E23" t="s">
        <v>1175</v>
      </c>
      <c r="N23" t="str">
        <f>CONCATENATE("=== [[",D23,"]] ===&lt;br&gt;{| {{tabelle}}&lt;br&gt;! Isotop !! ",$D$1," !! [[",$E$1,"]] !! ",$F$1," &lt;br&gt; |-")</f>
        <v>=== [[Kohlenstoff]] ===&lt;br&gt;{| {{tabelle}}&lt;br&gt;! Isotop !! natürliche Häufigkeit !! [[Halbwertszeit]] !! Herkunft, techn. Bedeutung &lt;br&gt; |-</v>
      </c>
    </row>
    <row r="24" spans="1:14" ht="15.9" customHeight="1">
      <c r="A24" s="73">
        <v>6</v>
      </c>
      <c r="B24" s="81" t="s">
        <v>1087</v>
      </c>
      <c r="C24" s="73">
        <v>12</v>
      </c>
      <c r="D24" s="73">
        <v>98.93</v>
      </c>
      <c r="E24" t="s">
        <v>1175</v>
      </c>
      <c r="G24" t="str">
        <f>CONCATENATE("[","http://atom.kaeri.re.kr/cgi-bin/nuclide?nuc=",B24,"-",C24," &lt;sub&gt;",C24,"&lt;/sub&gt;",B24,"]")</f>
        <v>[http://atom.kaeri.re.kr/cgi-bin/nuclide?nuc=C-12 &lt;sub&gt;12&lt;/sub&gt;C]</v>
      </c>
      <c r="H24" t="str">
        <f>CONCATENATE(D24," % || ",E24)</f>
        <v>98,93 % || stabil</v>
      </c>
      <c r="I24" t="str">
        <f>CONCATENATE(" | ",G24," || ",H24," || ",F24)</f>
        <v xml:space="preserve"> | [http://atom.kaeri.re.kr/cgi-bin/nuclide?nuc=C-12 &lt;sub&gt;12&lt;/sub&gt;C] || 98,93 % || stabil || </v>
      </c>
      <c r="N24" t="str">
        <f>CONCATENATE(I24,"&lt;br&gt;"," |-")</f>
        <v xml:space="preserve"> | [http://atom.kaeri.re.kr/cgi-bin/nuclide?nuc=C-12 &lt;sub&gt;12&lt;/sub&gt;C] || 98,93 % || stabil || &lt;br&gt; |-</v>
      </c>
    </row>
    <row r="25" spans="1:14" ht="15.9" customHeight="1">
      <c r="A25" s="73">
        <v>6</v>
      </c>
      <c r="B25" s="81" t="s">
        <v>1087</v>
      </c>
      <c r="C25" s="73">
        <v>13</v>
      </c>
      <c r="D25" s="73">
        <v>1.07</v>
      </c>
      <c r="E25" t="s">
        <v>1175</v>
      </c>
      <c r="G25" t="str">
        <f>CONCATENATE("[","http://atom.kaeri.re.kr/cgi-bin/nuclide?nuc=",B25,"-",C25," &lt;sub&gt;",C25,"&lt;/sub&gt;",B25,"]")</f>
        <v>[http://atom.kaeri.re.kr/cgi-bin/nuclide?nuc=C-13 &lt;sub&gt;13&lt;/sub&gt;C]</v>
      </c>
      <c r="H25" t="str">
        <f>CONCATENATE(D25," % || ",E25)</f>
        <v>1,07 % || stabil</v>
      </c>
      <c r="I25" t="str">
        <f>CONCATENATE(" | ",G25," || ",H25," || ",F25)</f>
        <v xml:space="preserve"> | [http://atom.kaeri.re.kr/cgi-bin/nuclide?nuc=C-13 &lt;sub&gt;13&lt;/sub&gt;C] || 1,07 % || stabil || </v>
      </c>
      <c r="N25" t="str">
        <f>CONCATENATE(I25,"&lt;br&gt;"," |-")</f>
        <v xml:space="preserve"> | [http://atom.kaeri.re.kr/cgi-bin/nuclide?nuc=C-13 &lt;sub&gt;13&lt;/sub&gt;C] || 1,07 % || stabil || &lt;br&gt; |-</v>
      </c>
    </row>
    <row r="26" spans="1:14" s="78" customFormat="1" ht="15.9" customHeight="1">
      <c r="A26" s="73">
        <v>6</v>
      </c>
      <c r="B26" s="82" t="s">
        <v>1087</v>
      </c>
      <c r="C26" s="79">
        <v>14</v>
      </c>
      <c r="D26" s="86">
        <v>2.0000000000000001E-9</v>
      </c>
      <c r="E26" t="s">
        <v>1131</v>
      </c>
      <c r="F26" t="s">
        <v>1202</v>
      </c>
      <c r="G26" t="str">
        <f>CONCATENATE("[","http://atom.kaeri.re.kr/cgi-bin/nuclide?nuc=",B26,"-",C26," &lt;sub&gt;",C26,"&lt;/sub&gt;",B26,"]")</f>
        <v>[http://atom.kaeri.re.kr/cgi-bin/nuclide?nuc=C-14 &lt;sub&gt;14&lt;/sub&gt;C]</v>
      </c>
      <c r="H26" t="str">
        <f>CONCATENATE(D26," % || ",E26)</f>
        <v>0,000000002 % || 5730 Jahre</v>
      </c>
      <c r="I26" t="str">
        <f>CONCATENATE(" | ",G26," || ",H26," || ",F26)</f>
        <v xml:space="preserve"> | [http://atom.kaeri.re.kr/cgi-bin/nuclide?nuc=C-14 &lt;sub&gt;14&lt;/sub&gt;C] || 0,000000002 % || 5730 Jahre || [[radioaktiv]], kosmogen, Kerntechnik, Medizin, [[Radiocarbonmethode]]</v>
      </c>
      <c r="J26"/>
      <c r="K26"/>
      <c r="L26"/>
      <c r="M26"/>
      <c r="N26" t="str">
        <f>CONCATENATE(I26,"&lt;br&gt;"," |-")</f>
        <v xml:space="preserve"> | [http://atom.kaeri.re.kr/cgi-bin/nuclide?nuc=C-14 &lt;sub&gt;14&lt;/sub&gt;C] || 0,000000002 % || 5730 Jahre || [[radioaktiv]], kosmogen, Kerntechnik, Medizin, [[Radiocarbonmethode]]&lt;br&gt; |-</v>
      </c>
    </row>
    <row r="27" spans="1:14" ht="15.9" customHeight="1">
      <c r="A27">
        <v>6</v>
      </c>
      <c r="B27" s="83" t="s">
        <v>1087</v>
      </c>
      <c r="C27">
        <v>999</v>
      </c>
      <c r="D27" t="s">
        <v>1088</v>
      </c>
      <c r="E27" t="s">
        <v>1175</v>
      </c>
      <c r="N27" t="str">
        <f>CONCATENATE(" |}&lt;br&gt;* [http://atom.kaeri.re.kr/cgi-bin/nuclide?nuc=",B27," alle bekannten ",D27,"-Isotope]")</f>
        <v xml:space="preserve"> |}&lt;br&gt;* [http://atom.kaeri.re.kr/cgi-bin/nuclide?nuc=C alle bekannten Kohlenstoff-Isotope]</v>
      </c>
    </row>
    <row r="28" spans="1:14" ht="15.9" customHeight="1">
      <c r="A28">
        <v>7</v>
      </c>
      <c r="B28" s="83" t="s">
        <v>1091</v>
      </c>
      <c r="C28" s="73">
        <v>0</v>
      </c>
      <c r="D28" t="s">
        <v>1092</v>
      </c>
      <c r="E28" t="s">
        <v>1175</v>
      </c>
      <c r="N28" t="str">
        <f>CONCATENATE("=== [[",D28,"]] ===&lt;br&gt;{| {{tabelle}}&lt;br&gt;! Isotop !! ",$D$1," !! [[",$E$1,"]] !! ",$F$1," &lt;br&gt; |-")</f>
        <v>=== [[Stickstoff]] ===&lt;br&gt;{| {{tabelle}}&lt;br&gt;! Isotop !! natürliche Häufigkeit !! [[Halbwertszeit]] !! Herkunft, techn. Bedeutung &lt;br&gt; |-</v>
      </c>
    </row>
    <row r="29" spans="1:14" ht="15.9" customHeight="1">
      <c r="A29" s="73">
        <v>7</v>
      </c>
      <c r="B29" s="81" t="s">
        <v>1091</v>
      </c>
      <c r="C29" s="73">
        <v>14</v>
      </c>
      <c r="D29" s="73">
        <v>99.632000000000005</v>
      </c>
      <c r="E29" t="s">
        <v>1175</v>
      </c>
      <c r="G29" t="str">
        <f>CONCATENATE("[","http://atom.kaeri.re.kr/cgi-bin/nuclide?nuc=",B29,"-",C29," &lt;sub&gt;",C29,"&lt;/sub&gt;",B29,"]")</f>
        <v>[http://atom.kaeri.re.kr/cgi-bin/nuclide?nuc=N-14 &lt;sub&gt;14&lt;/sub&gt;N]</v>
      </c>
      <c r="H29" t="str">
        <f>CONCATENATE(D29," % || ",E29)</f>
        <v>99,632 % || stabil</v>
      </c>
      <c r="I29" t="str">
        <f>CONCATENATE(" | ",G29," || ",H29," || ",F29)</f>
        <v xml:space="preserve"> | [http://atom.kaeri.re.kr/cgi-bin/nuclide?nuc=N-14 &lt;sub&gt;14&lt;/sub&gt;N] || 99,632 % || stabil || </v>
      </c>
      <c r="N29" t="str">
        <f>CONCATENATE(I29,"&lt;br&gt;"," |-")</f>
        <v xml:space="preserve"> | [http://atom.kaeri.re.kr/cgi-bin/nuclide?nuc=N-14 &lt;sub&gt;14&lt;/sub&gt;N] || 99,632 % || stabil || &lt;br&gt; |-</v>
      </c>
    </row>
    <row r="30" spans="1:14" ht="15.9" customHeight="1">
      <c r="A30" s="73">
        <v>7</v>
      </c>
      <c r="B30" s="81" t="s">
        <v>1091</v>
      </c>
      <c r="C30" s="73">
        <v>15</v>
      </c>
      <c r="D30" s="73">
        <v>0.36799999999999999</v>
      </c>
      <c r="E30" t="s">
        <v>1175</v>
      </c>
      <c r="G30" t="str">
        <f>CONCATENATE("[","http://atom.kaeri.re.kr/cgi-bin/nuclide?nuc=",B30,"-",C30," &lt;sub&gt;",C30,"&lt;/sub&gt;",B30,"]")</f>
        <v>[http://atom.kaeri.re.kr/cgi-bin/nuclide?nuc=N-15 &lt;sub&gt;15&lt;/sub&gt;N]</v>
      </c>
      <c r="H30" t="str">
        <f>CONCATENATE(D30," % || ",E30)</f>
        <v>0,368 % || stabil</v>
      </c>
      <c r="I30" t="str">
        <f>CONCATENATE(" | ",G30," || ",H30," || ",F30)</f>
        <v xml:space="preserve"> | [http://atom.kaeri.re.kr/cgi-bin/nuclide?nuc=N-15 &lt;sub&gt;15&lt;/sub&gt;N] || 0,368 % || stabil || </v>
      </c>
      <c r="N30" t="str">
        <f>CONCATENATE(I30,"&lt;br&gt;"," |-")</f>
        <v xml:space="preserve"> | [http://atom.kaeri.re.kr/cgi-bin/nuclide?nuc=N-15 &lt;sub&gt;15&lt;/sub&gt;N] || 0,368 % || stabil || &lt;br&gt; |-</v>
      </c>
    </row>
    <row r="31" spans="1:14" ht="15.9" customHeight="1">
      <c r="A31">
        <v>7</v>
      </c>
      <c r="B31" s="83" t="s">
        <v>1091</v>
      </c>
      <c r="C31">
        <v>999</v>
      </c>
      <c r="D31" t="s">
        <v>1092</v>
      </c>
      <c r="E31" t="s">
        <v>1175</v>
      </c>
      <c r="N31" t="str">
        <f>CONCATENATE(" |}&lt;br&gt;* [http://atom.kaeri.re.kr/cgi-bin/nuclide?nuc=",B31," alle bekannten ",D31,"-Isotope]")</f>
        <v xml:space="preserve"> |}&lt;br&gt;* [http://atom.kaeri.re.kr/cgi-bin/nuclide?nuc=N alle bekannten Stickstoff-Isotope]</v>
      </c>
    </row>
    <row r="32" spans="1:14" ht="15.9" customHeight="1">
      <c r="A32">
        <v>8</v>
      </c>
      <c r="B32" s="83" t="s">
        <v>1094</v>
      </c>
      <c r="C32" s="73">
        <v>0</v>
      </c>
      <c r="D32" t="s">
        <v>1095</v>
      </c>
      <c r="E32" t="s">
        <v>1175</v>
      </c>
      <c r="N32" t="str">
        <f>CONCATENATE("=== [[",D32,"]] ===&lt;br&gt;{| {{tabelle}}&lt;br&gt;! Isotop !! ",$D$1," !! [[",$E$1,"]] !! ",$F$1," &lt;br&gt; |-")</f>
        <v>=== [[Sauerstoff]] ===&lt;br&gt;{| {{tabelle}}&lt;br&gt;! Isotop !! natürliche Häufigkeit !! [[Halbwertszeit]] !! Herkunft, techn. Bedeutung &lt;br&gt; |-</v>
      </c>
    </row>
    <row r="33" spans="1:14" ht="15.9" customHeight="1">
      <c r="A33" s="73">
        <v>8</v>
      </c>
      <c r="B33" s="81" t="s">
        <v>1094</v>
      </c>
      <c r="C33" s="73">
        <v>16</v>
      </c>
      <c r="D33" s="73">
        <v>99.757000000000005</v>
      </c>
      <c r="E33" t="s">
        <v>1175</v>
      </c>
      <c r="G33" t="str">
        <f>CONCATENATE("[","http://atom.kaeri.re.kr/cgi-bin/nuclide?nuc=",B33,"-",C33," &lt;sub&gt;",C33,"&lt;/sub&gt;",B33,"]")</f>
        <v>[http://atom.kaeri.re.kr/cgi-bin/nuclide?nuc=O-16 &lt;sub&gt;16&lt;/sub&gt;O]</v>
      </c>
      <c r="H33" t="str">
        <f>CONCATENATE(D33," % || ",E33)</f>
        <v>99,757 % || stabil</v>
      </c>
      <c r="I33" t="str">
        <f>CONCATENATE(" | ",G33," || ",H33," || ",F33)</f>
        <v xml:space="preserve"> | [http://atom.kaeri.re.kr/cgi-bin/nuclide?nuc=O-16 &lt;sub&gt;16&lt;/sub&gt;O] || 99,757 % || stabil || </v>
      </c>
      <c r="N33" t="str">
        <f>CONCATENATE(I33,"&lt;br&gt;"," |-")</f>
        <v xml:space="preserve"> | [http://atom.kaeri.re.kr/cgi-bin/nuclide?nuc=O-16 &lt;sub&gt;16&lt;/sub&gt;O] || 99,757 % || stabil || &lt;br&gt; |-</v>
      </c>
    </row>
    <row r="34" spans="1:14" ht="15.9" customHeight="1">
      <c r="A34" s="73">
        <v>8</v>
      </c>
      <c r="B34" s="81" t="s">
        <v>1094</v>
      </c>
      <c r="C34" s="73">
        <v>17</v>
      </c>
      <c r="D34" s="73">
        <v>3.7999999999999999E-2</v>
      </c>
      <c r="E34" t="s">
        <v>1175</v>
      </c>
      <c r="G34" t="str">
        <f>CONCATENATE("[","http://atom.kaeri.re.kr/cgi-bin/nuclide?nuc=",B34,"-",C34," &lt;sub&gt;",C34,"&lt;/sub&gt;",B34,"]")</f>
        <v>[http://atom.kaeri.re.kr/cgi-bin/nuclide?nuc=O-17 &lt;sub&gt;17&lt;/sub&gt;O]</v>
      </c>
      <c r="H34" t="str">
        <f>CONCATENATE(D34," % || ",E34)</f>
        <v>0,038 % || stabil</v>
      </c>
      <c r="I34" t="str">
        <f>CONCATENATE(" | ",G34," || ",H34," || ",F34)</f>
        <v xml:space="preserve"> | [http://atom.kaeri.re.kr/cgi-bin/nuclide?nuc=O-17 &lt;sub&gt;17&lt;/sub&gt;O] || 0,038 % || stabil || </v>
      </c>
      <c r="N34" t="str">
        <f>CONCATENATE(I34,"&lt;br&gt;"," |-")</f>
        <v xml:space="preserve"> | [http://atom.kaeri.re.kr/cgi-bin/nuclide?nuc=O-17 &lt;sub&gt;17&lt;/sub&gt;O] || 0,038 % || stabil || &lt;br&gt; |-</v>
      </c>
    </row>
    <row r="35" spans="1:14" ht="15.9" customHeight="1">
      <c r="A35" s="73">
        <v>8</v>
      </c>
      <c r="B35" s="81" t="s">
        <v>1094</v>
      </c>
      <c r="C35" s="73">
        <v>18</v>
      </c>
      <c r="D35" s="73">
        <v>0.20499999999999999</v>
      </c>
      <c r="E35" t="s">
        <v>1175</v>
      </c>
      <c r="G35" t="str">
        <f>CONCATENATE("[","http://atom.kaeri.re.kr/cgi-bin/nuclide?nuc=",B35,"-",C35," &lt;sub&gt;",C35,"&lt;/sub&gt;",B35,"]")</f>
        <v>[http://atom.kaeri.re.kr/cgi-bin/nuclide?nuc=O-18 &lt;sub&gt;18&lt;/sub&gt;O]</v>
      </c>
      <c r="H35" t="str">
        <f>CONCATENATE(D35," % || ",E35)</f>
        <v>0,205 % || stabil</v>
      </c>
      <c r="I35" t="str">
        <f>CONCATENATE(" | ",G35," || ",H35," || ",F35)</f>
        <v xml:space="preserve"> | [http://atom.kaeri.re.kr/cgi-bin/nuclide?nuc=O-18 &lt;sub&gt;18&lt;/sub&gt;O] || 0,205 % || stabil || </v>
      </c>
      <c r="N35" t="str">
        <f>CONCATENATE(I35,"&lt;br&gt;"," |-")</f>
        <v xml:space="preserve"> | [http://atom.kaeri.re.kr/cgi-bin/nuclide?nuc=O-18 &lt;sub&gt;18&lt;/sub&gt;O] || 0,205 % || stabil || &lt;br&gt; |-</v>
      </c>
    </row>
    <row r="36" spans="1:14" ht="15.9" customHeight="1">
      <c r="A36">
        <v>8</v>
      </c>
      <c r="B36" s="83" t="s">
        <v>1094</v>
      </c>
      <c r="C36">
        <v>999</v>
      </c>
      <c r="D36" t="s">
        <v>1095</v>
      </c>
      <c r="E36" t="s">
        <v>1175</v>
      </c>
      <c r="N36" t="str">
        <f>CONCATENATE(" |}&lt;br&gt;* [http://atom.kaeri.re.kr/cgi-bin/nuclide?nuc=",B36," alle bekannten ",D36,"-Isotope]")</f>
        <v xml:space="preserve"> |}&lt;br&gt;* [http://atom.kaeri.re.kr/cgi-bin/nuclide?nuc=O alle bekannten Sauerstoff-Isotope]</v>
      </c>
    </row>
    <row r="37" spans="1:14" ht="15.9" customHeight="1">
      <c r="A37">
        <v>9</v>
      </c>
      <c r="B37" s="83" t="s">
        <v>1097</v>
      </c>
      <c r="C37" s="73">
        <v>0</v>
      </c>
      <c r="D37" t="s">
        <v>1098</v>
      </c>
      <c r="E37" t="s">
        <v>1175</v>
      </c>
      <c r="N37" t="str">
        <f>CONCATENATE("=== [[",D37,"]] ===&lt;br&gt;{| {{tabelle}}&lt;br&gt;! Isotop !! ",$D$1," !! [[",$E$1,"]] !! ",$F$1," &lt;br&gt; |-")</f>
        <v>=== [[Fluor]] ===&lt;br&gt;{| {{tabelle}}&lt;br&gt;! Isotop !! natürliche Häufigkeit !! [[Halbwertszeit]] !! Herkunft, techn. Bedeutung &lt;br&gt; |-</v>
      </c>
    </row>
    <row r="38" spans="1:14" ht="15.9" customHeight="1">
      <c r="A38" s="73">
        <v>9</v>
      </c>
      <c r="B38" s="81" t="s">
        <v>1097</v>
      </c>
      <c r="C38" s="73">
        <v>19</v>
      </c>
      <c r="D38" s="73">
        <v>100</v>
      </c>
      <c r="E38" t="s">
        <v>1175</v>
      </c>
      <c r="G38" t="str">
        <f>CONCATENATE("[","http://atom.kaeri.re.kr/cgi-bin/nuclide?nuc=",B38,"-",C38," &lt;sub&gt;",C38,"&lt;/sub&gt;",B38,"]")</f>
        <v>[http://atom.kaeri.re.kr/cgi-bin/nuclide?nuc=F-19 &lt;sub&gt;19&lt;/sub&gt;F]</v>
      </c>
      <c r="H38" t="str">
        <f>CONCATENATE(D38," % || ",E38)</f>
        <v>100 % || stabil</v>
      </c>
      <c r="I38" t="str">
        <f>CONCATENATE(" | ",G38," || ",H38," || ",F38)</f>
        <v xml:space="preserve"> | [http://atom.kaeri.re.kr/cgi-bin/nuclide?nuc=F-19 &lt;sub&gt;19&lt;/sub&gt;F] || 100 % || stabil || </v>
      </c>
      <c r="N38" t="str">
        <f>CONCATENATE(I38,"&lt;br&gt;"," |-")</f>
        <v xml:space="preserve"> | [http://atom.kaeri.re.kr/cgi-bin/nuclide?nuc=F-19 &lt;sub&gt;19&lt;/sub&gt;F] || 100 % || stabil || &lt;br&gt; |-</v>
      </c>
    </row>
    <row r="39" spans="1:14" ht="15.9" customHeight="1">
      <c r="A39">
        <v>9</v>
      </c>
      <c r="B39" s="83" t="s">
        <v>1097</v>
      </c>
      <c r="C39">
        <v>999</v>
      </c>
      <c r="D39" t="s">
        <v>1098</v>
      </c>
      <c r="E39" t="s">
        <v>1175</v>
      </c>
      <c r="N39" t="str">
        <f>CONCATENATE(" |}&lt;br&gt;* [http://atom.kaeri.re.kr/cgi-bin/nuclide?nuc=",B39," alle bekannten ",D39,"-Isotope]")</f>
        <v xml:space="preserve"> |}&lt;br&gt;* [http://atom.kaeri.re.kr/cgi-bin/nuclide?nuc=F alle bekannten Fluor-Isotope]</v>
      </c>
    </row>
    <row r="40" spans="1:14" ht="15.9" customHeight="1">
      <c r="A40">
        <v>10</v>
      </c>
      <c r="B40" s="83" t="s">
        <v>1100</v>
      </c>
      <c r="C40" s="73">
        <v>0</v>
      </c>
      <c r="D40" t="s">
        <v>1101</v>
      </c>
      <c r="E40" t="s">
        <v>1175</v>
      </c>
      <c r="N40" t="str">
        <f>CONCATENATE("=== [[",D40,"]] ===&lt;br&gt;{| {{tabelle}}&lt;br&gt;! Isotop !! ",$D$1," !! [[",$E$1,"]] !! ",$F$1," &lt;br&gt; |-")</f>
        <v>=== [[Neon]] ===&lt;br&gt;{| {{tabelle}}&lt;br&gt;! Isotop !! natürliche Häufigkeit !! [[Halbwertszeit]] !! Herkunft, techn. Bedeutung &lt;br&gt; |-</v>
      </c>
    </row>
    <row r="41" spans="1:14" ht="15.9" customHeight="1">
      <c r="A41" s="73">
        <v>10</v>
      </c>
      <c r="B41" s="81" t="s">
        <v>1100</v>
      </c>
      <c r="C41" s="73">
        <v>20</v>
      </c>
      <c r="D41" s="73">
        <v>90.48</v>
      </c>
      <c r="E41" t="s">
        <v>1175</v>
      </c>
      <c r="G41" t="str">
        <f>CONCATENATE("[","http://atom.kaeri.re.kr/cgi-bin/nuclide?nuc=",B41,"-",C41," &lt;sub&gt;",C41,"&lt;/sub&gt;",B41,"]")</f>
        <v>[http://atom.kaeri.re.kr/cgi-bin/nuclide?nuc=Ne-20 &lt;sub&gt;20&lt;/sub&gt;Ne]</v>
      </c>
      <c r="H41" t="str">
        <f>CONCATENATE(D41," % || ",E41)</f>
        <v>90,48 % || stabil</v>
      </c>
      <c r="I41" t="str">
        <f>CONCATENATE(" | ",G41," || ",H41," || ",F41)</f>
        <v xml:space="preserve"> | [http://atom.kaeri.re.kr/cgi-bin/nuclide?nuc=Ne-20 &lt;sub&gt;20&lt;/sub&gt;Ne] || 90,48 % || stabil || </v>
      </c>
      <c r="N41" t="str">
        <f>CONCATENATE(I41,"&lt;br&gt;"," |-")</f>
        <v xml:space="preserve"> | [http://atom.kaeri.re.kr/cgi-bin/nuclide?nuc=Ne-20 &lt;sub&gt;20&lt;/sub&gt;Ne] || 90,48 % || stabil || &lt;br&gt; |-</v>
      </c>
    </row>
    <row r="42" spans="1:14" ht="15.9" customHeight="1">
      <c r="A42" s="73">
        <v>10</v>
      </c>
      <c r="B42" s="81" t="s">
        <v>1100</v>
      </c>
      <c r="C42" s="73">
        <v>21</v>
      </c>
      <c r="D42" s="73">
        <v>0.27</v>
      </c>
      <c r="E42" t="s">
        <v>1175</v>
      </c>
      <c r="G42" t="str">
        <f>CONCATENATE("[","http://atom.kaeri.re.kr/cgi-bin/nuclide?nuc=",B42,"-",C42," &lt;sub&gt;",C42,"&lt;/sub&gt;",B42,"]")</f>
        <v>[http://atom.kaeri.re.kr/cgi-bin/nuclide?nuc=Ne-21 &lt;sub&gt;21&lt;/sub&gt;Ne]</v>
      </c>
      <c r="H42" t="str">
        <f>CONCATENATE(D42," % || ",E42)</f>
        <v>0,27 % || stabil</v>
      </c>
      <c r="I42" t="str">
        <f>CONCATENATE(" | ",G42," || ",H42," || ",F42)</f>
        <v xml:space="preserve"> | [http://atom.kaeri.re.kr/cgi-bin/nuclide?nuc=Ne-21 &lt;sub&gt;21&lt;/sub&gt;Ne] || 0,27 % || stabil || </v>
      </c>
      <c r="N42" t="str">
        <f>CONCATENATE(I42,"&lt;br&gt;"," |-")</f>
        <v xml:space="preserve"> | [http://atom.kaeri.re.kr/cgi-bin/nuclide?nuc=Ne-21 &lt;sub&gt;21&lt;/sub&gt;Ne] || 0,27 % || stabil || &lt;br&gt; |-</v>
      </c>
    </row>
    <row r="43" spans="1:14" ht="15.9" customHeight="1">
      <c r="A43" s="73">
        <v>10</v>
      </c>
      <c r="B43" s="81" t="s">
        <v>1100</v>
      </c>
      <c r="C43" s="73">
        <v>22</v>
      </c>
      <c r="D43" s="73">
        <v>9.25</v>
      </c>
      <c r="E43" t="s">
        <v>1175</v>
      </c>
      <c r="G43" t="str">
        <f>CONCATENATE("[","http://atom.kaeri.re.kr/cgi-bin/nuclide?nuc=",B43,"-",C43," &lt;sub&gt;",C43,"&lt;/sub&gt;",B43,"]")</f>
        <v>[http://atom.kaeri.re.kr/cgi-bin/nuclide?nuc=Ne-22 &lt;sub&gt;22&lt;/sub&gt;Ne]</v>
      </c>
      <c r="H43" t="str">
        <f>CONCATENATE(D43," % || ",E43)</f>
        <v>9,25 % || stabil</v>
      </c>
      <c r="I43" t="str">
        <f>CONCATENATE(" | ",G43," || ",H43," || ",F43)</f>
        <v xml:space="preserve"> | [http://atom.kaeri.re.kr/cgi-bin/nuclide?nuc=Ne-22 &lt;sub&gt;22&lt;/sub&gt;Ne] || 9,25 % || stabil || </v>
      </c>
      <c r="N43" t="str">
        <f>CONCATENATE(I43,"&lt;br&gt;"," |-")</f>
        <v xml:space="preserve"> | [http://atom.kaeri.re.kr/cgi-bin/nuclide?nuc=Ne-22 &lt;sub&gt;22&lt;/sub&gt;Ne] || 9,25 % || stabil || &lt;br&gt; |-</v>
      </c>
    </row>
    <row r="44" spans="1:14" ht="15.9" customHeight="1">
      <c r="A44">
        <v>10</v>
      </c>
      <c r="B44" s="83" t="s">
        <v>1100</v>
      </c>
      <c r="C44">
        <v>999</v>
      </c>
      <c r="D44" t="s">
        <v>1101</v>
      </c>
      <c r="E44" t="s">
        <v>1175</v>
      </c>
      <c r="N44" t="str">
        <f>CONCATENATE(" |}&lt;br&gt;* [http://atom.kaeri.re.kr/cgi-bin/nuclide?nuc=",B44," alle bekannten ",D44,"-Isotope]")</f>
        <v xml:space="preserve"> |}&lt;br&gt;* [http://atom.kaeri.re.kr/cgi-bin/nuclide?nuc=Ne alle bekannten Neon-Isotope]</v>
      </c>
    </row>
    <row r="45" spans="1:14" ht="15.9" customHeight="1">
      <c r="A45">
        <v>11</v>
      </c>
      <c r="B45" s="83" t="s">
        <v>1102</v>
      </c>
      <c r="C45" s="73">
        <v>0</v>
      </c>
      <c r="D45" t="s">
        <v>1103</v>
      </c>
      <c r="E45" t="s">
        <v>1175</v>
      </c>
      <c r="N45" t="str">
        <f>CONCATENATE("=== [[",D45,"]] ===&lt;br&gt;{| {{tabelle}}&lt;br&gt;! Isotop !! ",$D$1," !! [[",$E$1,"]] !! ",$F$1," &lt;br&gt; |-")</f>
        <v>=== [[Natrium]] ===&lt;br&gt;{| {{tabelle}}&lt;br&gt;! Isotop !! natürliche Häufigkeit !! [[Halbwertszeit]] !! Herkunft, techn. Bedeutung &lt;br&gt; |-</v>
      </c>
    </row>
    <row r="46" spans="1:14" s="78" customFormat="1" ht="15.9" customHeight="1">
      <c r="A46">
        <v>11</v>
      </c>
      <c r="B46" s="82" t="s">
        <v>1102</v>
      </c>
      <c r="C46" s="79">
        <v>22</v>
      </c>
      <c r="D46" s="78" t="s">
        <v>1068</v>
      </c>
      <c r="E46" t="s">
        <v>1132</v>
      </c>
      <c r="F46" t="s">
        <v>1200</v>
      </c>
      <c r="G46" t="str">
        <f>CONCATENATE("[","http://atom.kaeri.re.kr/cgi-bin/nuclide?nuc=",B46,"-",C46," &lt;sub&gt;",C46,"&lt;/sub&gt;",B46,"]")</f>
        <v>[http://atom.kaeri.re.kr/cgi-bin/nuclide?nuc=Na-22 &lt;sub&gt;22&lt;/sub&gt;Na]</v>
      </c>
      <c r="H46" t="str">
        <f>CONCATENATE(D46," % || ",E46)</f>
        <v>- % || 2,6 Jahre</v>
      </c>
      <c r="I46" t="str">
        <f>CONCATENATE(" | ",G46," || ",H46," || ",F46)</f>
        <v xml:space="preserve"> | [http://atom.kaeri.re.kr/cgi-bin/nuclide?nuc=Na-22 &lt;sub&gt;22&lt;/sub&gt;Na] || - % || 2,6 Jahre || [[radioaktiv]], kosmogen</v>
      </c>
      <c r="J46"/>
      <c r="K46"/>
      <c r="L46"/>
      <c r="M46"/>
      <c r="N46" t="str">
        <f>CONCATENATE(I46,"&lt;br&gt;"," |-")</f>
        <v xml:space="preserve"> | [http://atom.kaeri.re.kr/cgi-bin/nuclide?nuc=Na-22 &lt;sub&gt;22&lt;/sub&gt;Na] || - % || 2,6 Jahre || [[radioaktiv]], kosmogen&lt;br&gt; |-</v>
      </c>
    </row>
    <row r="47" spans="1:14" ht="15.9" customHeight="1">
      <c r="A47" s="73">
        <v>11</v>
      </c>
      <c r="B47" s="81" t="s">
        <v>1102</v>
      </c>
      <c r="C47" s="73">
        <v>23</v>
      </c>
      <c r="D47" s="73">
        <v>100</v>
      </c>
      <c r="E47" t="s">
        <v>1175</v>
      </c>
      <c r="G47" t="str">
        <f>CONCATENATE("[","http://atom.kaeri.re.kr/cgi-bin/nuclide?nuc=",B47,"-",C47," &lt;sub&gt;",C47,"&lt;/sub&gt;",B47,"]")</f>
        <v>[http://atom.kaeri.re.kr/cgi-bin/nuclide?nuc=Na-23 &lt;sub&gt;23&lt;/sub&gt;Na]</v>
      </c>
      <c r="H47" t="str">
        <f>CONCATENATE(D47," % || ",E47)</f>
        <v>100 % || stabil</v>
      </c>
      <c r="I47" t="str">
        <f>CONCATENATE(" | ",G47," || ",H47," || ",F47)</f>
        <v xml:space="preserve"> | [http://atom.kaeri.re.kr/cgi-bin/nuclide?nuc=Na-23 &lt;sub&gt;23&lt;/sub&gt;Na] || 100 % || stabil || </v>
      </c>
      <c r="N47" t="str">
        <f>CONCATENATE(I47,"&lt;br&gt;"," |-")</f>
        <v xml:space="preserve"> | [http://atom.kaeri.re.kr/cgi-bin/nuclide?nuc=Na-23 &lt;sub&gt;23&lt;/sub&gt;Na] || 100 % || stabil || &lt;br&gt; |-</v>
      </c>
    </row>
    <row r="48" spans="1:14" ht="15.9" customHeight="1">
      <c r="A48">
        <v>11</v>
      </c>
      <c r="B48" s="83" t="s">
        <v>1102</v>
      </c>
      <c r="C48">
        <v>999</v>
      </c>
      <c r="D48" t="s">
        <v>1103</v>
      </c>
      <c r="E48" t="s">
        <v>1175</v>
      </c>
      <c r="N48" t="str">
        <f>CONCATENATE(" |}&lt;br&gt;* [http://atom.kaeri.re.kr/cgi-bin/nuclide?nuc=",B48," alle bekannten ",D48,"-Isotope]")</f>
        <v xml:space="preserve"> |}&lt;br&gt;* [http://atom.kaeri.re.kr/cgi-bin/nuclide?nuc=Na alle bekannten Natrium-Isotope]</v>
      </c>
    </row>
    <row r="49" spans="1:14" ht="15.9" customHeight="1">
      <c r="A49">
        <v>12</v>
      </c>
      <c r="B49" s="83" t="s">
        <v>1106</v>
      </c>
      <c r="C49" s="73">
        <v>0</v>
      </c>
      <c r="D49" t="s">
        <v>1107</v>
      </c>
      <c r="E49" t="s">
        <v>1175</v>
      </c>
      <c r="N49" t="str">
        <f>CONCATENATE("=== [[",D49,"]] ===&lt;br&gt;{| {{tabelle}}&lt;br&gt;! Isotop !! ",$D$1," !! [[",$E$1,"]] !! ",$F$1," &lt;br&gt; |-")</f>
        <v>=== [[Magnesium]] ===&lt;br&gt;{| {{tabelle}}&lt;br&gt;! Isotop !! natürliche Häufigkeit !! [[Halbwertszeit]] !! Herkunft, techn. Bedeutung &lt;br&gt; |-</v>
      </c>
    </row>
    <row r="50" spans="1:14" ht="15.9" customHeight="1">
      <c r="A50" s="73">
        <v>12</v>
      </c>
      <c r="B50" s="81" t="s">
        <v>1106</v>
      </c>
      <c r="C50" s="73">
        <v>24</v>
      </c>
      <c r="D50" s="73">
        <v>78.989999999999995</v>
      </c>
      <c r="E50" t="s">
        <v>1175</v>
      </c>
      <c r="G50" t="str">
        <f>CONCATENATE("[","http://atom.kaeri.re.kr/cgi-bin/nuclide?nuc=",B50,"-",C50," &lt;sub&gt;",C50,"&lt;/sub&gt;",B50,"]")</f>
        <v>[http://atom.kaeri.re.kr/cgi-bin/nuclide?nuc=Mg-24 &lt;sub&gt;24&lt;/sub&gt;Mg]</v>
      </c>
      <c r="H50" t="str">
        <f>CONCATENATE(D50," % || ",E50)</f>
        <v>78,99 % || stabil</v>
      </c>
      <c r="I50" t="str">
        <f>CONCATENATE(" | ",G50," || ",H50," || ",F50)</f>
        <v xml:space="preserve"> | [http://atom.kaeri.re.kr/cgi-bin/nuclide?nuc=Mg-24 &lt;sub&gt;24&lt;/sub&gt;Mg] || 78,99 % || stabil || </v>
      </c>
      <c r="N50" t="str">
        <f>CONCATENATE(I50,"&lt;br&gt;"," |-")</f>
        <v xml:space="preserve"> | [http://atom.kaeri.re.kr/cgi-bin/nuclide?nuc=Mg-24 &lt;sub&gt;24&lt;/sub&gt;Mg] || 78,99 % || stabil || &lt;br&gt; |-</v>
      </c>
    </row>
    <row r="51" spans="1:14" ht="15.9" customHeight="1">
      <c r="A51" s="73">
        <v>12</v>
      </c>
      <c r="B51" s="81" t="s">
        <v>1106</v>
      </c>
      <c r="C51" s="73">
        <v>25</v>
      </c>
      <c r="D51" s="73">
        <v>10</v>
      </c>
      <c r="E51" t="s">
        <v>1175</v>
      </c>
      <c r="G51" t="str">
        <f>CONCATENATE("[","http://atom.kaeri.re.kr/cgi-bin/nuclide?nuc=",B51,"-",C51," &lt;sub&gt;",C51,"&lt;/sub&gt;",B51,"]")</f>
        <v>[http://atom.kaeri.re.kr/cgi-bin/nuclide?nuc=Mg-25 &lt;sub&gt;25&lt;/sub&gt;Mg]</v>
      </c>
      <c r="H51" t="str">
        <f>CONCATENATE(D51," % || ",E51)</f>
        <v>10 % || stabil</v>
      </c>
      <c r="I51" t="str">
        <f>CONCATENATE(" | ",G51," || ",H51," || ",F51)</f>
        <v xml:space="preserve"> | [http://atom.kaeri.re.kr/cgi-bin/nuclide?nuc=Mg-25 &lt;sub&gt;25&lt;/sub&gt;Mg] || 10 % || stabil || </v>
      </c>
      <c r="N51" t="str">
        <f>CONCATENATE(I51,"&lt;br&gt;"," |-")</f>
        <v xml:space="preserve"> | [http://atom.kaeri.re.kr/cgi-bin/nuclide?nuc=Mg-25 &lt;sub&gt;25&lt;/sub&gt;Mg] || 10 % || stabil || &lt;br&gt; |-</v>
      </c>
    </row>
    <row r="52" spans="1:14" ht="15.9" customHeight="1">
      <c r="A52" s="73">
        <v>12</v>
      </c>
      <c r="B52" s="81" t="s">
        <v>1106</v>
      </c>
      <c r="C52" s="73">
        <v>26</v>
      </c>
      <c r="D52" s="73">
        <v>11.01</v>
      </c>
      <c r="E52" t="s">
        <v>1175</v>
      </c>
      <c r="G52" t="str">
        <f>CONCATENATE("[","http://atom.kaeri.re.kr/cgi-bin/nuclide?nuc=",B52,"-",C52," &lt;sub&gt;",C52,"&lt;/sub&gt;",B52,"]")</f>
        <v>[http://atom.kaeri.re.kr/cgi-bin/nuclide?nuc=Mg-26 &lt;sub&gt;26&lt;/sub&gt;Mg]</v>
      </c>
      <c r="H52" t="str">
        <f>CONCATENATE(D52," % || ",E52)</f>
        <v>11,01 % || stabil</v>
      </c>
      <c r="I52" t="str">
        <f>CONCATENATE(" | ",G52," || ",H52," || ",F52)</f>
        <v xml:space="preserve"> | [http://atom.kaeri.re.kr/cgi-bin/nuclide?nuc=Mg-26 &lt;sub&gt;26&lt;/sub&gt;Mg] || 11,01 % || stabil || </v>
      </c>
      <c r="N52" t="str">
        <f>CONCATENATE(I52,"&lt;br&gt;"," |-")</f>
        <v xml:space="preserve"> | [http://atom.kaeri.re.kr/cgi-bin/nuclide?nuc=Mg-26 &lt;sub&gt;26&lt;/sub&gt;Mg] || 11,01 % || stabil || &lt;br&gt; |-</v>
      </c>
    </row>
    <row r="53" spans="1:14" ht="15.9" customHeight="1">
      <c r="A53">
        <v>12</v>
      </c>
      <c r="B53" s="83" t="s">
        <v>1106</v>
      </c>
      <c r="C53">
        <v>999</v>
      </c>
      <c r="D53" t="s">
        <v>1107</v>
      </c>
      <c r="E53" t="s">
        <v>1175</v>
      </c>
      <c r="N53" t="str">
        <f>CONCATENATE(" |}&lt;br&gt;* [http://atom.kaeri.re.kr/cgi-bin/nuclide?nuc=",B53," alle bekannten ",D53,"-Isotope]")</f>
        <v xml:space="preserve"> |}&lt;br&gt;* [http://atom.kaeri.re.kr/cgi-bin/nuclide?nuc=Mg alle bekannten Magnesium-Isotope]</v>
      </c>
    </row>
    <row r="54" spans="1:14" ht="15.9" customHeight="1">
      <c r="A54">
        <v>13</v>
      </c>
      <c r="B54" s="83" t="s">
        <v>1110</v>
      </c>
      <c r="C54" s="73">
        <v>0</v>
      </c>
      <c r="D54" t="s">
        <v>1111</v>
      </c>
      <c r="E54" t="s">
        <v>1175</v>
      </c>
      <c r="N54" t="str">
        <f>CONCATENATE("=== [[",D54,"]] ===&lt;br&gt;{| {{tabelle}}&lt;br&gt;! Isotop !! ",$D$1," !! [[",$E$1,"]] !! ",$F$1," &lt;br&gt; |-")</f>
        <v>=== [[Aluminium]] ===&lt;br&gt;{| {{tabelle}}&lt;br&gt;! Isotop !! natürliche Häufigkeit !! [[Halbwertszeit]] !! Herkunft, techn. Bedeutung &lt;br&gt; |-</v>
      </c>
    </row>
    <row r="55" spans="1:14" ht="15.9" customHeight="1">
      <c r="A55" s="73">
        <v>13</v>
      </c>
      <c r="B55" s="81" t="s">
        <v>1110</v>
      </c>
      <c r="C55" s="73">
        <v>27</v>
      </c>
      <c r="D55" s="73">
        <v>100</v>
      </c>
      <c r="E55" t="s">
        <v>1175</v>
      </c>
      <c r="G55" t="str">
        <f>CONCATENATE("[","http://atom.kaeri.re.kr/cgi-bin/nuclide?nuc=",B55,"-",C55," &lt;sub&gt;",C55,"&lt;/sub&gt;",B55,"]")</f>
        <v>[http://atom.kaeri.re.kr/cgi-bin/nuclide?nuc=Al-27 &lt;sub&gt;27&lt;/sub&gt;Al]</v>
      </c>
      <c r="H55" t="str">
        <f>CONCATENATE(D55," % || ",E55)</f>
        <v>100 % || stabil</v>
      </c>
      <c r="I55" t="str">
        <f>CONCATENATE(" | ",G55," || ",H55," || ",F55)</f>
        <v xml:space="preserve"> | [http://atom.kaeri.re.kr/cgi-bin/nuclide?nuc=Al-27 &lt;sub&gt;27&lt;/sub&gt;Al] || 100 % || stabil || </v>
      </c>
      <c r="N55" t="str">
        <f>CONCATENATE(I55,"&lt;br&gt;"," |-")</f>
        <v xml:space="preserve"> | [http://atom.kaeri.re.kr/cgi-bin/nuclide?nuc=Al-27 &lt;sub&gt;27&lt;/sub&gt;Al] || 100 % || stabil || &lt;br&gt; |-</v>
      </c>
    </row>
    <row r="56" spans="1:14" ht="15.9" customHeight="1">
      <c r="A56">
        <v>13</v>
      </c>
      <c r="B56" s="83" t="s">
        <v>1110</v>
      </c>
      <c r="C56">
        <v>999</v>
      </c>
      <c r="D56" t="s">
        <v>1111</v>
      </c>
      <c r="E56" t="s">
        <v>1175</v>
      </c>
      <c r="N56" t="str">
        <f>CONCATENATE(" |}&lt;br&gt;* [http://atom.kaeri.re.kr/cgi-bin/nuclide?nuc=",B56," alle bekannten ",D56,"-Isotope]")</f>
        <v xml:space="preserve"> |}&lt;br&gt;* [http://atom.kaeri.re.kr/cgi-bin/nuclide?nuc=Al alle bekannten Aluminium-Isotope]</v>
      </c>
    </row>
    <row r="57" spans="1:14" ht="15.9" customHeight="1">
      <c r="A57">
        <v>14</v>
      </c>
      <c r="B57" s="83" t="s">
        <v>1114</v>
      </c>
      <c r="C57" s="73">
        <v>0</v>
      </c>
      <c r="D57" t="s">
        <v>1115</v>
      </c>
      <c r="E57" t="s">
        <v>1175</v>
      </c>
      <c r="N57" t="str">
        <f>CONCATENATE("=== [[",D57,"]] ===&lt;br&gt;{| {{tabelle}}&lt;br&gt;! Isotop !! ",$D$1," !! [[",$E$1,"]] !! ",$F$1," &lt;br&gt; |-")</f>
        <v>=== [[Silicium]] ===&lt;br&gt;{| {{tabelle}}&lt;br&gt;! Isotop !! natürliche Häufigkeit !! [[Halbwertszeit]] !! Herkunft, techn. Bedeutung &lt;br&gt; |-</v>
      </c>
    </row>
    <row r="58" spans="1:14" ht="15.9" customHeight="1">
      <c r="A58" s="73">
        <v>14</v>
      </c>
      <c r="B58" s="81" t="s">
        <v>1114</v>
      </c>
      <c r="C58" s="73">
        <v>28</v>
      </c>
      <c r="D58" s="73">
        <v>92.229699999999994</v>
      </c>
      <c r="E58" t="s">
        <v>1175</v>
      </c>
      <c r="G58" t="str">
        <f>CONCATENATE("[","http://atom.kaeri.re.kr/cgi-bin/nuclide?nuc=",B58,"-",C58," &lt;sub&gt;",C58,"&lt;/sub&gt;",B58,"]")</f>
        <v>[http://atom.kaeri.re.kr/cgi-bin/nuclide?nuc=Si-28 &lt;sub&gt;28&lt;/sub&gt;Si]</v>
      </c>
      <c r="H58" t="str">
        <f>CONCATENATE(D58," % || ",E58)</f>
        <v>92,2297 % || stabil</v>
      </c>
      <c r="I58" t="str">
        <f>CONCATENATE(" | ",G58," || ",H58," || ",F58)</f>
        <v xml:space="preserve"> | [http://atom.kaeri.re.kr/cgi-bin/nuclide?nuc=Si-28 &lt;sub&gt;28&lt;/sub&gt;Si] || 92,2297 % || stabil || </v>
      </c>
      <c r="N58" t="str">
        <f>CONCATENATE(I58,"&lt;br&gt;"," |-")</f>
        <v xml:space="preserve"> | [http://atom.kaeri.re.kr/cgi-bin/nuclide?nuc=Si-28 &lt;sub&gt;28&lt;/sub&gt;Si] || 92,2297 % || stabil || &lt;br&gt; |-</v>
      </c>
    </row>
    <row r="59" spans="1:14" ht="15.9" customHeight="1">
      <c r="A59" s="73">
        <v>14</v>
      </c>
      <c r="B59" s="81" t="s">
        <v>1114</v>
      </c>
      <c r="C59" s="73">
        <v>29</v>
      </c>
      <c r="D59" s="73">
        <v>4.6832000000000003</v>
      </c>
      <c r="E59" t="s">
        <v>1175</v>
      </c>
      <c r="G59" t="str">
        <f>CONCATENATE("[","http://atom.kaeri.re.kr/cgi-bin/nuclide?nuc=",B59,"-",C59," &lt;sub&gt;",C59,"&lt;/sub&gt;",B59,"]")</f>
        <v>[http://atom.kaeri.re.kr/cgi-bin/nuclide?nuc=Si-29 &lt;sub&gt;29&lt;/sub&gt;Si]</v>
      </c>
      <c r="H59" t="str">
        <f>CONCATENATE(D59," % || ",E59)</f>
        <v>4,6832 % || stabil</v>
      </c>
      <c r="I59" t="str">
        <f>CONCATENATE(" | ",G59," || ",H59," || ",F59)</f>
        <v xml:space="preserve"> | [http://atom.kaeri.re.kr/cgi-bin/nuclide?nuc=Si-29 &lt;sub&gt;29&lt;/sub&gt;Si] || 4,6832 % || stabil || </v>
      </c>
      <c r="N59" t="str">
        <f>CONCATENATE(I59,"&lt;br&gt;"," |-")</f>
        <v xml:space="preserve"> | [http://atom.kaeri.re.kr/cgi-bin/nuclide?nuc=Si-29 &lt;sub&gt;29&lt;/sub&gt;Si] || 4,6832 % || stabil || &lt;br&gt; |-</v>
      </c>
    </row>
    <row r="60" spans="1:14" ht="15.9" customHeight="1">
      <c r="A60" s="73">
        <v>14</v>
      </c>
      <c r="B60" s="81" t="s">
        <v>1114</v>
      </c>
      <c r="C60" s="73">
        <v>30</v>
      </c>
      <c r="D60" s="73">
        <v>3.0872000000000002</v>
      </c>
      <c r="E60" t="s">
        <v>1175</v>
      </c>
      <c r="G60" t="str">
        <f>CONCATENATE("[","http://atom.kaeri.re.kr/cgi-bin/nuclide?nuc=",B60,"-",C60," &lt;sub&gt;",C60,"&lt;/sub&gt;",B60,"]")</f>
        <v>[http://atom.kaeri.re.kr/cgi-bin/nuclide?nuc=Si-30 &lt;sub&gt;30&lt;/sub&gt;Si]</v>
      </c>
      <c r="H60" t="str">
        <f>CONCATENATE(D60," % || ",E60)</f>
        <v>3,0872 % || stabil</v>
      </c>
      <c r="I60" t="str">
        <f>CONCATENATE(" | ",G60," || ",H60," || ",F60)</f>
        <v xml:space="preserve"> | [http://atom.kaeri.re.kr/cgi-bin/nuclide?nuc=Si-30 &lt;sub&gt;30&lt;/sub&gt;Si] || 3,0872 % || stabil || </v>
      </c>
      <c r="N60" t="str">
        <f>CONCATENATE(I60,"&lt;br&gt;"," |-")</f>
        <v xml:space="preserve"> | [http://atom.kaeri.re.kr/cgi-bin/nuclide?nuc=Si-30 &lt;sub&gt;30&lt;/sub&gt;Si] || 3,0872 % || stabil || &lt;br&gt; |-</v>
      </c>
    </row>
    <row r="61" spans="1:14" ht="15.9" customHeight="1">
      <c r="A61">
        <v>14</v>
      </c>
      <c r="B61" s="83" t="s">
        <v>1114</v>
      </c>
      <c r="C61">
        <v>999</v>
      </c>
      <c r="D61" t="s">
        <v>1115</v>
      </c>
      <c r="E61" t="s">
        <v>1175</v>
      </c>
      <c r="N61" t="str">
        <f>CONCATENATE(" |}&lt;br&gt;* [http://atom.kaeri.re.kr/cgi-bin/nuclide?nuc=",B61," alle bekannten ",D61,"-Isotope]")</f>
        <v xml:space="preserve"> |}&lt;br&gt;* [http://atom.kaeri.re.kr/cgi-bin/nuclide?nuc=Si alle bekannten Silicium-Isotope]</v>
      </c>
    </row>
    <row r="62" spans="1:14" ht="15.9" customHeight="1">
      <c r="A62">
        <v>15</v>
      </c>
      <c r="B62" s="83" t="s">
        <v>1118</v>
      </c>
      <c r="C62" s="73">
        <v>0</v>
      </c>
      <c r="D62" t="s">
        <v>1119</v>
      </c>
      <c r="E62" t="s">
        <v>1175</v>
      </c>
      <c r="N62" t="str">
        <f>CONCATENATE("=== [[",D62,"]] ===&lt;br&gt;{| {{tabelle}}&lt;br&gt;! Isotop !! ",$D$1," !! [[",$E$1,"]] !! ",$F$1," &lt;br&gt; |-")</f>
        <v>=== [[Phosphor]] ===&lt;br&gt;{| {{tabelle}}&lt;br&gt;! Isotop !! natürliche Häufigkeit !! [[Halbwertszeit]] !! Herkunft, techn. Bedeutung &lt;br&gt; |-</v>
      </c>
    </row>
    <row r="63" spans="1:14" ht="15.9" customHeight="1">
      <c r="A63" s="73">
        <v>15</v>
      </c>
      <c r="B63" s="81" t="s">
        <v>1118</v>
      </c>
      <c r="C63" s="73">
        <v>31</v>
      </c>
      <c r="D63" s="73">
        <v>100</v>
      </c>
      <c r="E63" t="s">
        <v>1175</v>
      </c>
      <c r="G63" t="str">
        <f>CONCATENATE("[","http://atom.kaeri.re.kr/cgi-bin/nuclide?nuc=",B63,"-",C63," &lt;sub&gt;",C63,"&lt;/sub&gt;",B63,"]")</f>
        <v>[http://atom.kaeri.re.kr/cgi-bin/nuclide?nuc=P-31 &lt;sub&gt;31&lt;/sub&gt;P]</v>
      </c>
      <c r="H63" t="str">
        <f>CONCATENATE(D63," % || ",E63)</f>
        <v>100 % || stabil</v>
      </c>
      <c r="I63" t="str">
        <f>CONCATENATE(" | ",G63," || ",H63," || ",F63)</f>
        <v xml:space="preserve"> | [http://atom.kaeri.re.kr/cgi-bin/nuclide?nuc=P-31 &lt;sub&gt;31&lt;/sub&gt;P] || 100 % || stabil || </v>
      </c>
      <c r="N63" t="str">
        <f>CONCATENATE(I63,"&lt;br&gt;"," |-")</f>
        <v xml:space="preserve"> | [http://atom.kaeri.re.kr/cgi-bin/nuclide?nuc=P-31 &lt;sub&gt;31&lt;/sub&gt;P] || 100 % || stabil || &lt;br&gt; |-</v>
      </c>
    </row>
    <row r="64" spans="1:14" ht="15.9" customHeight="1">
      <c r="A64">
        <v>15</v>
      </c>
      <c r="B64" s="83" t="s">
        <v>1118</v>
      </c>
      <c r="C64">
        <v>999</v>
      </c>
      <c r="D64" t="s">
        <v>1119</v>
      </c>
      <c r="E64" t="s">
        <v>1175</v>
      </c>
      <c r="N64" t="str">
        <f>CONCATENATE(" |}&lt;br&gt;* [http://atom.kaeri.re.kr/cgi-bin/nuclide?nuc=",B64," alle bekannten ",D64,"-Isotope]")</f>
        <v xml:space="preserve"> |}&lt;br&gt;* [http://atom.kaeri.re.kr/cgi-bin/nuclide?nuc=P alle bekannten Phosphor-Isotope]</v>
      </c>
    </row>
    <row r="65" spans="1:14" ht="15.9" customHeight="1">
      <c r="A65">
        <v>16</v>
      </c>
      <c r="B65" s="83" t="s">
        <v>1123</v>
      </c>
      <c r="C65" s="73">
        <v>0</v>
      </c>
      <c r="D65" t="s">
        <v>1124</v>
      </c>
      <c r="E65" t="s">
        <v>1175</v>
      </c>
      <c r="N65" t="str">
        <f>CONCATENATE("=== [[",D65,"]] ===&lt;br&gt;{| {{tabelle}}&lt;br&gt;! Isotop !! ",$D$1," !! [[",$E$1,"]] !! ",$F$1," &lt;br&gt; |-")</f>
        <v>=== [[Schwefel]] ===&lt;br&gt;{| {{tabelle}}&lt;br&gt;! Isotop !! natürliche Häufigkeit !! [[Halbwertszeit]] !! Herkunft, techn. Bedeutung &lt;br&gt; |-</v>
      </c>
    </row>
    <row r="66" spans="1:14" ht="15.9" customHeight="1">
      <c r="A66" s="73">
        <v>16</v>
      </c>
      <c r="B66" s="81" t="s">
        <v>1123</v>
      </c>
      <c r="C66" s="73">
        <v>32</v>
      </c>
      <c r="D66" s="73">
        <v>94.93</v>
      </c>
      <c r="E66" t="s">
        <v>1175</v>
      </c>
      <c r="G66" t="str">
        <f>CONCATENATE("[","http://atom.kaeri.re.kr/cgi-bin/nuclide?nuc=",B66,"-",C66," &lt;sub&gt;",C66,"&lt;/sub&gt;",B66,"]")</f>
        <v>[http://atom.kaeri.re.kr/cgi-bin/nuclide?nuc=S-32 &lt;sub&gt;32&lt;/sub&gt;S]</v>
      </c>
      <c r="H66" t="str">
        <f>CONCATENATE(D66," % || ",E66)</f>
        <v>94,93 % || stabil</v>
      </c>
      <c r="I66" t="str">
        <f>CONCATENATE(" | ",G66," || ",H66," || ",F66)</f>
        <v xml:space="preserve"> | [http://atom.kaeri.re.kr/cgi-bin/nuclide?nuc=S-32 &lt;sub&gt;32&lt;/sub&gt;S] || 94,93 % || stabil || </v>
      </c>
      <c r="N66" t="str">
        <f>CONCATENATE(I66,"&lt;br&gt;"," |-")</f>
        <v xml:space="preserve"> | [http://atom.kaeri.re.kr/cgi-bin/nuclide?nuc=S-32 &lt;sub&gt;32&lt;/sub&gt;S] || 94,93 % || stabil || &lt;br&gt; |-</v>
      </c>
    </row>
    <row r="67" spans="1:14" ht="15.9" customHeight="1">
      <c r="A67" s="73">
        <v>16</v>
      </c>
      <c r="B67" s="81" t="s">
        <v>1123</v>
      </c>
      <c r="C67" s="73">
        <v>33</v>
      </c>
      <c r="D67" s="73">
        <v>0.76</v>
      </c>
      <c r="E67" t="s">
        <v>1175</v>
      </c>
      <c r="G67" t="str">
        <f>CONCATENATE("[","http://atom.kaeri.re.kr/cgi-bin/nuclide?nuc=",B67,"-",C67," &lt;sub&gt;",C67,"&lt;/sub&gt;",B67,"]")</f>
        <v>[http://atom.kaeri.re.kr/cgi-bin/nuclide?nuc=S-33 &lt;sub&gt;33&lt;/sub&gt;S]</v>
      </c>
      <c r="H67" t="str">
        <f>CONCATENATE(D67," % || ",E67)</f>
        <v>0,76 % || stabil</v>
      </c>
      <c r="I67" t="str">
        <f>CONCATENATE(" | ",G67," || ",H67," || ",F67)</f>
        <v xml:space="preserve"> | [http://atom.kaeri.re.kr/cgi-bin/nuclide?nuc=S-33 &lt;sub&gt;33&lt;/sub&gt;S] || 0,76 % || stabil || </v>
      </c>
      <c r="N67" t="str">
        <f>CONCATENATE(I67,"&lt;br&gt;"," |-")</f>
        <v xml:space="preserve"> | [http://atom.kaeri.re.kr/cgi-bin/nuclide?nuc=S-33 &lt;sub&gt;33&lt;/sub&gt;S] || 0,76 % || stabil || &lt;br&gt; |-</v>
      </c>
    </row>
    <row r="68" spans="1:14" ht="15.9" customHeight="1">
      <c r="A68" s="73">
        <v>16</v>
      </c>
      <c r="B68" s="81" t="s">
        <v>1123</v>
      </c>
      <c r="C68" s="73">
        <v>34</v>
      </c>
      <c r="D68" s="73">
        <v>4.29</v>
      </c>
      <c r="E68" t="s">
        <v>1175</v>
      </c>
      <c r="G68" t="str">
        <f>CONCATENATE("[","http://atom.kaeri.re.kr/cgi-bin/nuclide?nuc=",B68,"-",C68," &lt;sub&gt;",C68,"&lt;/sub&gt;",B68,"]")</f>
        <v>[http://atom.kaeri.re.kr/cgi-bin/nuclide?nuc=S-34 &lt;sub&gt;34&lt;/sub&gt;S]</v>
      </c>
      <c r="H68" t="str">
        <f>CONCATENATE(D68," % || ",E68)</f>
        <v>4,29 % || stabil</v>
      </c>
      <c r="I68" t="str">
        <f>CONCATENATE(" | ",G68," || ",H68," || ",F68)</f>
        <v xml:space="preserve"> | [http://atom.kaeri.re.kr/cgi-bin/nuclide?nuc=S-34 &lt;sub&gt;34&lt;/sub&gt;S] || 4,29 % || stabil || </v>
      </c>
      <c r="N68" t="str">
        <f>CONCATENATE(I68,"&lt;br&gt;"," |-")</f>
        <v xml:space="preserve"> | [http://atom.kaeri.re.kr/cgi-bin/nuclide?nuc=S-34 &lt;sub&gt;34&lt;/sub&gt;S] || 4,29 % || stabil || &lt;br&gt; |-</v>
      </c>
    </row>
    <row r="69" spans="1:14" ht="15.9" customHeight="1">
      <c r="A69" s="73">
        <v>16</v>
      </c>
      <c r="B69" s="81" t="s">
        <v>1123</v>
      </c>
      <c r="C69" s="73">
        <v>36</v>
      </c>
      <c r="D69" s="73">
        <v>0.02</v>
      </c>
      <c r="E69" t="s">
        <v>1175</v>
      </c>
      <c r="G69" t="str">
        <f>CONCATENATE("[","http://atom.kaeri.re.kr/cgi-bin/nuclide?nuc=",B69,"-",C69," &lt;sub&gt;",C69,"&lt;/sub&gt;",B69,"]")</f>
        <v>[http://atom.kaeri.re.kr/cgi-bin/nuclide?nuc=S-36 &lt;sub&gt;36&lt;/sub&gt;S]</v>
      </c>
      <c r="H69" t="str">
        <f>CONCATENATE(D69," % || ",E69)</f>
        <v>0,02 % || stabil</v>
      </c>
      <c r="I69" t="str">
        <f>CONCATENATE(" | ",G69," || ",H69," || ",F69)</f>
        <v xml:space="preserve"> | [http://atom.kaeri.re.kr/cgi-bin/nuclide?nuc=S-36 &lt;sub&gt;36&lt;/sub&gt;S] || 0,02 % || stabil || </v>
      </c>
      <c r="N69" t="str">
        <f>CONCATENATE(I69,"&lt;br&gt;"," |-")</f>
        <v xml:space="preserve"> | [http://atom.kaeri.re.kr/cgi-bin/nuclide?nuc=S-36 &lt;sub&gt;36&lt;/sub&gt;S] || 0,02 % || stabil || &lt;br&gt; |-</v>
      </c>
    </row>
    <row r="70" spans="1:14" ht="15.9" customHeight="1">
      <c r="A70">
        <v>16</v>
      </c>
      <c r="B70" s="83" t="s">
        <v>1123</v>
      </c>
      <c r="C70">
        <v>999</v>
      </c>
      <c r="D70" t="s">
        <v>1124</v>
      </c>
      <c r="E70" t="s">
        <v>1175</v>
      </c>
      <c r="N70" t="str">
        <f>CONCATENATE(" |}&lt;br&gt;* [http://atom.kaeri.re.kr/cgi-bin/nuclide?nuc=",B70," alle bekannten ",D70,"-Isotope]")</f>
        <v xml:space="preserve"> |}&lt;br&gt;* [http://atom.kaeri.re.kr/cgi-bin/nuclide?nuc=S alle bekannten Schwefel-Isotope]</v>
      </c>
    </row>
    <row r="71" spans="1:14" ht="15.9" customHeight="1">
      <c r="A71">
        <v>17</v>
      </c>
      <c r="B71" s="83" t="s">
        <v>1126</v>
      </c>
      <c r="C71" s="73">
        <v>0</v>
      </c>
      <c r="D71" t="s">
        <v>1127</v>
      </c>
      <c r="E71" t="s">
        <v>1175</v>
      </c>
      <c r="N71" t="str">
        <f>CONCATENATE("=== [[",D71,"]] ===&lt;br&gt;{| {{tabelle}}&lt;br&gt;! Isotop !! ",$D$1," !! [[",$E$1,"]] !! ",$F$1," &lt;br&gt; |-")</f>
        <v>=== [[Chlor]] ===&lt;br&gt;{| {{tabelle}}&lt;br&gt;! Isotop !! natürliche Häufigkeit !! [[Halbwertszeit]] !! Herkunft, techn. Bedeutung &lt;br&gt; |-</v>
      </c>
    </row>
    <row r="72" spans="1:14" ht="15.9" customHeight="1">
      <c r="A72" s="73">
        <v>17</v>
      </c>
      <c r="B72" s="81" t="s">
        <v>1126</v>
      </c>
      <c r="C72" s="73">
        <v>35</v>
      </c>
      <c r="D72" s="73">
        <v>75.78</v>
      </c>
      <c r="E72" t="s">
        <v>1175</v>
      </c>
      <c r="G72" t="str">
        <f>CONCATENATE("[","http://atom.kaeri.re.kr/cgi-bin/nuclide?nuc=",B72,"-",C72," &lt;sub&gt;",C72,"&lt;/sub&gt;",B72,"]")</f>
        <v>[http://atom.kaeri.re.kr/cgi-bin/nuclide?nuc=Cl-35 &lt;sub&gt;35&lt;/sub&gt;Cl]</v>
      </c>
      <c r="H72" t="str">
        <f>CONCATENATE(D72," % || ",E72)</f>
        <v>75,78 % || stabil</v>
      </c>
      <c r="I72" t="str">
        <f>CONCATENATE(" | ",G72," || ",H72," || ",F72)</f>
        <v xml:space="preserve"> | [http://atom.kaeri.re.kr/cgi-bin/nuclide?nuc=Cl-35 &lt;sub&gt;35&lt;/sub&gt;Cl] || 75,78 % || stabil || </v>
      </c>
      <c r="N72" t="str">
        <f>CONCATENATE(I72,"&lt;br&gt;"," |-")</f>
        <v xml:space="preserve"> | [http://atom.kaeri.re.kr/cgi-bin/nuclide?nuc=Cl-35 &lt;sub&gt;35&lt;/sub&gt;Cl] || 75,78 % || stabil || &lt;br&gt; |-</v>
      </c>
    </row>
    <row r="73" spans="1:14" ht="15.9" customHeight="1">
      <c r="A73" s="73">
        <v>17</v>
      </c>
      <c r="B73" s="81" t="s">
        <v>1126</v>
      </c>
      <c r="C73" s="73">
        <v>37</v>
      </c>
      <c r="D73" s="73">
        <v>24.22</v>
      </c>
      <c r="E73" t="s">
        <v>1175</v>
      </c>
      <c r="G73" t="str">
        <f>CONCATENATE("[","http://atom.kaeri.re.kr/cgi-bin/nuclide?nuc=",B73,"-",C73," &lt;sub&gt;",C73,"&lt;/sub&gt;",B73,"]")</f>
        <v>[http://atom.kaeri.re.kr/cgi-bin/nuclide?nuc=Cl-37 &lt;sub&gt;37&lt;/sub&gt;Cl]</v>
      </c>
      <c r="H73" t="str">
        <f>CONCATENATE(D73," % || ",E73)</f>
        <v>24,22 % || stabil</v>
      </c>
      <c r="I73" t="str">
        <f>CONCATENATE(" | ",G73," || ",H73," || ",F73)</f>
        <v xml:space="preserve"> | [http://atom.kaeri.re.kr/cgi-bin/nuclide?nuc=Cl-37 &lt;sub&gt;37&lt;/sub&gt;Cl] || 24,22 % || stabil || </v>
      </c>
      <c r="N73" t="str">
        <f>CONCATENATE(I73,"&lt;br&gt;"," |-")</f>
        <v xml:space="preserve"> | [http://atom.kaeri.re.kr/cgi-bin/nuclide?nuc=Cl-37 &lt;sub&gt;37&lt;/sub&gt;Cl] || 24,22 % || stabil || &lt;br&gt; |-</v>
      </c>
    </row>
    <row r="74" spans="1:14" ht="15.9" customHeight="1">
      <c r="A74">
        <v>17</v>
      </c>
      <c r="B74" s="83" t="s">
        <v>1126</v>
      </c>
      <c r="C74">
        <v>999</v>
      </c>
      <c r="D74" t="s">
        <v>1127</v>
      </c>
      <c r="E74" t="s">
        <v>1175</v>
      </c>
      <c r="N74" t="str">
        <f>CONCATENATE(" |}&lt;br&gt;* [http://atom.kaeri.re.kr/cgi-bin/nuclide?nuc=",B74," alle bekannten ",D74,"-Isotope]")</f>
        <v xml:space="preserve"> |}&lt;br&gt;* [http://atom.kaeri.re.kr/cgi-bin/nuclide?nuc=Cl alle bekannten Chlor-Isotope]</v>
      </c>
    </row>
    <row r="75" spans="1:14" ht="15.9" customHeight="1">
      <c r="A75">
        <v>18</v>
      </c>
      <c r="B75" s="83" t="s">
        <v>9</v>
      </c>
      <c r="C75" s="73">
        <v>0</v>
      </c>
      <c r="D75" t="s">
        <v>10</v>
      </c>
      <c r="E75" t="s">
        <v>1175</v>
      </c>
      <c r="N75" t="str">
        <f>CONCATENATE("=== [[",D75,"]] ===&lt;br&gt;{| {{tabelle}}&lt;br&gt;! Isotop !! ",$D$1," !! [[",$E$1,"]] !! ",$F$1," &lt;br&gt; |-")</f>
        <v>=== [[Argon]] ===&lt;br&gt;{| {{tabelle}}&lt;br&gt;! Isotop !! natürliche Häufigkeit !! [[Halbwertszeit]] !! Herkunft, techn. Bedeutung &lt;br&gt; |-</v>
      </c>
    </row>
    <row r="76" spans="1:14" ht="15.9" customHeight="1">
      <c r="A76" s="73">
        <v>18</v>
      </c>
      <c r="B76" s="81" t="s">
        <v>9</v>
      </c>
      <c r="C76" s="73">
        <v>36</v>
      </c>
      <c r="D76" s="73">
        <v>0.33650000000000002</v>
      </c>
      <c r="E76" t="s">
        <v>1175</v>
      </c>
      <c r="G76" t="str">
        <f>CONCATENATE("[","http://atom.kaeri.re.kr/cgi-bin/nuclide?nuc=",B76,"-",C76," &lt;sub&gt;",C76,"&lt;/sub&gt;",B76,"]")</f>
        <v>[http://atom.kaeri.re.kr/cgi-bin/nuclide?nuc=Ar-36 &lt;sub&gt;36&lt;/sub&gt;Ar]</v>
      </c>
      <c r="H76" t="str">
        <f>CONCATENATE(D76," % || ",E76)</f>
        <v>0,3365 % || stabil</v>
      </c>
      <c r="I76" t="str">
        <f>CONCATENATE(" | ",G76," || ",H76," || ",F76)</f>
        <v xml:space="preserve"> | [http://atom.kaeri.re.kr/cgi-bin/nuclide?nuc=Ar-36 &lt;sub&gt;36&lt;/sub&gt;Ar] || 0,3365 % || stabil || </v>
      </c>
      <c r="N76" t="str">
        <f>CONCATENATE(I76,"&lt;br&gt;"," |-")</f>
        <v xml:space="preserve"> | [http://atom.kaeri.re.kr/cgi-bin/nuclide?nuc=Ar-36 &lt;sub&gt;36&lt;/sub&gt;Ar] || 0,3365 % || stabil || &lt;br&gt; |-</v>
      </c>
    </row>
    <row r="77" spans="1:14" ht="15.9" customHeight="1">
      <c r="A77" s="73">
        <v>18</v>
      </c>
      <c r="B77" s="81" t="s">
        <v>9</v>
      </c>
      <c r="C77" s="73">
        <v>38</v>
      </c>
      <c r="D77" s="73">
        <v>6.3200000000000006E-2</v>
      </c>
      <c r="E77" t="s">
        <v>1175</v>
      </c>
      <c r="G77" t="str">
        <f>CONCATENATE("[","http://atom.kaeri.re.kr/cgi-bin/nuclide?nuc=",B77,"-",C77," &lt;sub&gt;",C77,"&lt;/sub&gt;",B77,"]")</f>
        <v>[http://atom.kaeri.re.kr/cgi-bin/nuclide?nuc=Ar-38 &lt;sub&gt;38&lt;/sub&gt;Ar]</v>
      </c>
      <c r="H77" t="str">
        <f>CONCATENATE(D77," % || ",E77)</f>
        <v>0,0632 % || stabil</v>
      </c>
      <c r="I77" t="str">
        <f>CONCATENATE(" | ",G77," || ",H77," || ",F77)</f>
        <v xml:space="preserve"> | [http://atom.kaeri.re.kr/cgi-bin/nuclide?nuc=Ar-38 &lt;sub&gt;38&lt;/sub&gt;Ar] || 0,0632 % || stabil || </v>
      </c>
      <c r="N77" t="str">
        <f>CONCATENATE(I77,"&lt;br&gt;"," |-")</f>
        <v xml:space="preserve"> | [http://atom.kaeri.re.kr/cgi-bin/nuclide?nuc=Ar-38 &lt;sub&gt;38&lt;/sub&gt;Ar] || 0,0632 % || stabil || &lt;br&gt; |-</v>
      </c>
    </row>
    <row r="78" spans="1:14" ht="15.9" customHeight="1">
      <c r="A78" s="73">
        <v>18</v>
      </c>
      <c r="B78" s="81" t="s">
        <v>9</v>
      </c>
      <c r="C78" s="73">
        <v>40</v>
      </c>
      <c r="D78" s="73">
        <v>99.600300000000004</v>
      </c>
      <c r="E78" t="s">
        <v>1175</v>
      </c>
      <c r="G78" t="str">
        <f>CONCATENATE("[","http://atom.kaeri.re.kr/cgi-bin/nuclide?nuc=",B78,"-",C78," &lt;sub&gt;",C78,"&lt;/sub&gt;",B78,"]")</f>
        <v>[http://atom.kaeri.re.kr/cgi-bin/nuclide?nuc=Ar-40 &lt;sub&gt;40&lt;/sub&gt;Ar]</v>
      </c>
      <c r="H78" t="str">
        <f>CONCATENATE(D78," % || ",E78)</f>
        <v>99,6003 % || stabil</v>
      </c>
      <c r="I78" t="str">
        <f>CONCATENATE(" | ",G78," || ",H78," || ",F78)</f>
        <v xml:space="preserve"> | [http://atom.kaeri.re.kr/cgi-bin/nuclide?nuc=Ar-40 &lt;sub&gt;40&lt;/sub&gt;Ar] || 99,6003 % || stabil || </v>
      </c>
      <c r="N78" t="str">
        <f>CONCATENATE(I78,"&lt;br&gt;"," |-")</f>
        <v xml:space="preserve"> | [http://atom.kaeri.re.kr/cgi-bin/nuclide?nuc=Ar-40 &lt;sub&gt;40&lt;/sub&gt;Ar] || 99,6003 % || stabil || &lt;br&gt; |-</v>
      </c>
    </row>
    <row r="79" spans="1:14" ht="15.9" customHeight="1">
      <c r="A79">
        <v>18</v>
      </c>
      <c r="B79" s="83" t="s">
        <v>9</v>
      </c>
      <c r="C79">
        <v>999</v>
      </c>
      <c r="D79" t="s">
        <v>10</v>
      </c>
      <c r="E79" t="s">
        <v>1175</v>
      </c>
      <c r="N79" t="str">
        <f>CONCATENATE(" |}&lt;br&gt;* [http://atom.kaeri.re.kr/cgi-bin/nuclide?nuc=",B79," alle bekannten ",D79,"-Isotope]")</f>
        <v xml:space="preserve"> |}&lt;br&gt;* [http://atom.kaeri.re.kr/cgi-bin/nuclide?nuc=Ar alle bekannten Argon-Isotope]</v>
      </c>
    </row>
    <row r="80" spans="1:14" ht="15.9" customHeight="1">
      <c r="A80">
        <v>19</v>
      </c>
      <c r="B80" s="83" t="s">
        <v>11</v>
      </c>
      <c r="C80" s="73">
        <v>0</v>
      </c>
      <c r="D80" t="s">
        <v>12</v>
      </c>
      <c r="E80" t="s">
        <v>1175</v>
      </c>
      <c r="N80" t="str">
        <f>CONCATENATE("=== [[",D80,"]] ===&lt;br&gt;{| {{tabelle}}&lt;br&gt;! Isotop !! ",$D$1," !! [[",$E$1,"]] !! ",$F$1," &lt;br&gt; |-")</f>
        <v>=== [[Kalium]] ===&lt;br&gt;{| {{tabelle}}&lt;br&gt;! Isotop !! natürliche Häufigkeit !! [[Halbwertszeit]] !! Herkunft, techn. Bedeutung &lt;br&gt; |-</v>
      </c>
    </row>
    <row r="81" spans="1:14" ht="15.9" customHeight="1">
      <c r="A81" s="73">
        <v>19</v>
      </c>
      <c r="B81" s="81" t="s">
        <v>11</v>
      </c>
      <c r="C81" s="73">
        <v>39</v>
      </c>
      <c r="D81" s="73">
        <v>93.258099999999999</v>
      </c>
      <c r="E81" t="s">
        <v>1175</v>
      </c>
      <c r="G81" t="str">
        <f>CONCATENATE("[","http://atom.kaeri.re.kr/cgi-bin/nuclide?nuc=",B81,"-",C81," &lt;sub&gt;",C81,"&lt;/sub&gt;",B81,"]")</f>
        <v>[http://atom.kaeri.re.kr/cgi-bin/nuclide?nuc=K-39 &lt;sub&gt;39&lt;/sub&gt;K]</v>
      </c>
      <c r="H81" t="str">
        <f>CONCATENATE(D81," % || ",E81)</f>
        <v>93,2581 % || stabil</v>
      </c>
      <c r="I81" t="str">
        <f>CONCATENATE(" | ",G81," || ",H81," || ",F81)</f>
        <v xml:space="preserve"> | [http://atom.kaeri.re.kr/cgi-bin/nuclide?nuc=K-39 &lt;sub&gt;39&lt;/sub&gt;K] || 93,2581 % || stabil || </v>
      </c>
      <c r="N81" t="str">
        <f>CONCATENATE(I81,"&lt;br&gt;"," |-")</f>
        <v xml:space="preserve"> | [http://atom.kaeri.re.kr/cgi-bin/nuclide?nuc=K-39 &lt;sub&gt;39&lt;/sub&gt;K] || 93,2581 % || stabil || &lt;br&gt; |-</v>
      </c>
    </row>
    <row r="82" spans="1:14" s="78" customFormat="1" ht="15.9" customHeight="1">
      <c r="A82">
        <v>19</v>
      </c>
      <c r="B82" s="82" t="s">
        <v>11</v>
      </c>
      <c r="C82" s="79">
        <v>40</v>
      </c>
      <c r="D82" s="73">
        <v>1.17E-2</v>
      </c>
      <c r="E82" t="s">
        <v>1133</v>
      </c>
      <c r="F82" t="s">
        <v>1179</v>
      </c>
      <c r="G82" t="str">
        <f>CONCATENATE("[","http://atom.kaeri.re.kr/cgi-bin/nuclide?nuc=",B82,"-",C82," &lt;sub&gt;",C82,"&lt;/sub&gt;",B82,"]")</f>
        <v>[http://atom.kaeri.re.kr/cgi-bin/nuclide?nuc=K-40 &lt;sub&gt;40&lt;/sub&gt;K]</v>
      </c>
      <c r="H82" t="str">
        <f>CONCATENATE(D82," % || ",E82)</f>
        <v>0,0117 % || 1,27 Milliarden Jahre</v>
      </c>
      <c r="I82" t="str">
        <f>CONCATENATE(" | ",G82," || ",H82," || ",F82)</f>
        <v xml:space="preserve"> | [http://atom.kaeri.re.kr/cgi-bin/nuclide?nuc=K-40 &lt;sub&gt;40&lt;/sub&gt;K] || 0,0117 % || 1,27 Milliarden Jahre || [[radioaktiv]], Erdkruste</v>
      </c>
      <c r="J82"/>
      <c r="K82"/>
      <c r="L82"/>
      <c r="M82"/>
      <c r="N82" t="str">
        <f>CONCATENATE(I82,"&lt;br&gt;"," |-")</f>
        <v xml:space="preserve"> | [http://atom.kaeri.re.kr/cgi-bin/nuclide?nuc=K-40 &lt;sub&gt;40&lt;/sub&gt;K] || 0,0117 % || 1,27 Milliarden Jahre || [[radioaktiv]], Erdkruste&lt;br&gt; |-</v>
      </c>
    </row>
    <row r="83" spans="1:14" ht="15.9" customHeight="1">
      <c r="A83" s="73">
        <v>19</v>
      </c>
      <c r="B83" s="81" t="s">
        <v>11</v>
      </c>
      <c r="C83" s="73">
        <v>41</v>
      </c>
      <c r="D83" s="73">
        <v>6.7302</v>
      </c>
      <c r="E83" t="s">
        <v>1175</v>
      </c>
      <c r="G83" t="str">
        <f>CONCATENATE("[","http://atom.kaeri.re.kr/cgi-bin/nuclide?nuc=",B83,"-",C83," &lt;sub&gt;",C83,"&lt;/sub&gt;",B83,"]")</f>
        <v>[http://atom.kaeri.re.kr/cgi-bin/nuclide?nuc=K-41 &lt;sub&gt;41&lt;/sub&gt;K]</v>
      </c>
      <c r="H83" t="str">
        <f>CONCATENATE(D83," % || ",E83)</f>
        <v>6,7302 % || stabil</v>
      </c>
      <c r="I83" t="str">
        <f>CONCATENATE(" | ",G83," || ",H83," || ",F83)</f>
        <v xml:space="preserve"> | [http://atom.kaeri.re.kr/cgi-bin/nuclide?nuc=K-41 &lt;sub&gt;41&lt;/sub&gt;K] || 6,7302 % || stabil || </v>
      </c>
      <c r="N83" t="str">
        <f>CONCATENATE(I83,"&lt;br&gt;"," |-")</f>
        <v xml:space="preserve"> | [http://atom.kaeri.re.kr/cgi-bin/nuclide?nuc=K-41 &lt;sub&gt;41&lt;/sub&gt;K] || 6,7302 % || stabil || &lt;br&gt; |-</v>
      </c>
    </row>
    <row r="84" spans="1:14" ht="15.9" customHeight="1">
      <c r="A84">
        <v>19</v>
      </c>
      <c r="B84" s="83" t="s">
        <v>11</v>
      </c>
      <c r="C84">
        <v>999</v>
      </c>
      <c r="D84" t="s">
        <v>12</v>
      </c>
      <c r="E84" t="s">
        <v>1175</v>
      </c>
      <c r="N84" t="str">
        <f>CONCATENATE(" |}&lt;br&gt;* [http://atom.kaeri.re.kr/cgi-bin/nuclide?nuc=",B84," alle bekannten ",D84,"-Isotope]")</f>
        <v xml:space="preserve"> |}&lt;br&gt;* [http://atom.kaeri.re.kr/cgi-bin/nuclide?nuc=K alle bekannten Kalium-Isotope]</v>
      </c>
    </row>
    <row r="85" spans="1:14" ht="15.9" customHeight="1">
      <c r="A85">
        <v>20</v>
      </c>
      <c r="B85" s="83" t="s">
        <v>15</v>
      </c>
      <c r="C85" s="73">
        <v>0</v>
      </c>
      <c r="D85" t="s">
        <v>16</v>
      </c>
      <c r="E85" t="s">
        <v>1175</v>
      </c>
      <c r="N85" t="str">
        <f>CONCATENATE("=== [[",D85,"]] ===&lt;br&gt;{| {{tabelle}}&lt;br&gt;! Isotop !! ",$D$1," !! [[",$E$1,"]] !! ",$F$1," &lt;br&gt; |-")</f>
        <v>=== [[Calcium]] ===&lt;br&gt;{| {{tabelle}}&lt;br&gt;! Isotop !! natürliche Häufigkeit !! [[Halbwertszeit]] !! Herkunft, techn. Bedeutung &lt;br&gt; |-</v>
      </c>
    </row>
    <row r="86" spans="1:14" ht="15.9" customHeight="1">
      <c r="A86" s="73">
        <v>20</v>
      </c>
      <c r="B86" s="81" t="s">
        <v>15</v>
      </c>
      <c r="C86" s="73">
        <v>40</v>
      </c>
      <c r="D86" s="73">
        <v>96.941000000000003</v>
      </c>
      <c r="E86" t="s">
        <v>1175</v>
      </c>
      <c r="G86" t="str">
        <f t="shared" ref="G86:G91" si="0">CONCATENATE("[","http://atom.kaeri.re.kr/cgi-bin/nuclide?nuc=",B86,"-",C86," &lt;sub&gt;",C86,"&lt;/sub&gt;",B86,"]")</f>
        <v>[http://atom.kaeri.re.kr/cgi-bin/nuclide?nuc=Ca-40 &lt;sub&gt;40&lt;/sub&gt;Ca]</v>
      </c>
      <c r="H86" t="str">
        <f t="shared" ref="H86:H91" si="1">CONCATENATE(D86," % || ",E86)</f>
        <v>96,941 % || stabil</v>
      </c>
      <c r="I86" t="str">
        <f t="shared" ref="I86:I91" si="2">CONCATENATE(" | ",G86," || ",H86," || ",F86)</f>
        <v xml:space="preserve"> | [http://atom.kaeri.re.kr/cgi-bin/nuclide?nuc=Ca-40 &lt;sub&gt;40&lt;/sub&gt;Ca] || 96,941 % || stabil || </v>
      </c>
      <c r="N86" t="str">
        <f t="shared" ref="N86:N91" si="3">CONCATENATE(I86,"&lt;br&gt;"," |-")</f>
        <v xml:space="preserve"> | [http://atom.kaeri.re.kr/cgi-bin/nuclide?nuc=Ca-40 &lt;sub&gt;40&lt;/sub&gt;Ca] || 96,941 % || stabil || &lt;br&gt; |-</v>
      </c>
    </row>
    <row r="87" spans="1:14" ht="15.9" customHeight="1">
      <c r="A87" s="73">
        <v>20</v>
      </c>
      <c r="B87" s="81" t="s">
        <v>15</v>
      </c>
      <c r="C87" s="73">
        <v>42</v>
      </c>
      <c r="D87" s="73">
        <v>0.64700000000000002</v>
      </c>
      <c r="E87" t="s">
        <v>1175</v>
      </c>
      <c r="G87" t="str">
        <f t="shared" si="0"/>
        <v>[http://atom.kaeri.re.kr/cgi-bin/nuclide?nuc=Ca-42 &lt;sub&gt;42&lt;/sub&gt;Ca]</v>
      </c>
      <c r="H87" t="str">
        <f t="shared" si="1"/>
        <v>0,647 % || stabil</v>
      </c>
      <c r="I87" t="str">
        <f t="shared" si="2"/>
        <v xml:space="preserve"> | [http://atom.kaeri.re.kr/cgi-bin/nuclide?nuc=Ca-42 &lt;sub&gt;42&lt;/sub&gt;Ca] || 0,647 % || stabil || </v>
      </c>
      <c r="N87" t="str">
        <f t="shared" si="3"/>
        <v xml:space="preserve"> | [http://atom.kaeri.re.kr/cgi-bin/nuclide?nuc=Ca-42 &lt;sub&gt;42&lt;/sub&gt;Ca] || 0,647 % || stabil || &lt;br&gt; |-</v>
      </c>
    </row>
    <row r="88" spans="1:14" ht="15.9" customHeight="1">
      <c r="A88" s="73">
        <v>20</v>
      </c>
      <c r="B88" s="81" t="s">
        <v>15</v>
      </c>
      <c r="C88" s="73">
        <v>43</v>
      </c>
      <c r="D88" s="73">
        <v>0.13500000000000001</v>
      </c>
      <c r="E88" t="s">
        <v>1175</v>
      </c>
      <c r="G88" t="str">
        <f t="shared" si="0"/>
        <v>[http://atom.kaeri.re.kr/cgi-bin/nuclide?nuc=Ca-43 &lt;sub&gt;43&lt;/sub&gt;Ca]</v>
      </c>
      <c r="H88" t="str">
        <f t="shared" si="1"/>
        <v>0,135 % || stabil</v>
      </c>
      <c r="I88" t="str">
        <f t="shared" si="2"/>
        <v xml:space="preserve"> | [http://atom.kaeri.re.kr/cgi-bin/nuclide?nuc=Ca-43 &lt;sub&gt;43&lt;/sub&gt;Ca] || 0,135 % || stabil || </v>
      </c>
      <c r="N88" t="str">
        <f t="shared" si="3"/>
        <v xml:space="preserve"> | [http://atom.kaeri.re.kr/cgi-bin/nuclide?nuc=Ca-43 &lt;sub&gt;43&lt;/sub&gt;Ca] || 0,135 % || stabil || &lt;br&gt; |-</v>
      </c>
    </row>
    <row r="89" spans="1:14" ht="15.9" customHeight="1">
      <c r="A89" s="73">
        <v>20</v>
      </c>
      <c r="B89" s="81" t="s">
        <v>15</v>
      </c>
      <c r="C89" s="73">
        <v>44</v>
      </c>
      <c r="D89" s="73">
        <v>2.0859999999999999</v>
      </c>
      <c r="E89" t="s">
        <v>1175</v>
      </c>
      <c r="G89" t="str">
        <f t="shared" si="0"/>
        <v>[http://atom.kaeri.re.kr/cgi-bin/nuclide?nuc=Ca-44 &lt;sub&gt;44&lt;/sub&gt;Ca]</v>
      </c>
      <c r="H89" t="str">
        <f t="shared" si="1"/>
        <v>2,086 % || stabil</v>
      </c>
      <c r="I89" t="str">
        <f t="shared" si="2"/>
        <v xml:space="preserve"> | [http://atom.kaeri.re.kr/cgi-bin/nuclide?nuc=Ca-44 &lt;sub&gt;44&lt;/sub&gt;Ca] || 2,086 % || stabil || </v>
      </c>
      <c r="N89" t="str">
        <f t="shared" si="3"/>
        <v xml:space="preserve"> | [http://atom.kaeri.re.kr/cgi-bin/nuclide?nuc=Ca-44 &lt;sub&gt;44&lt;/sub&gt;Ca] || 2,086 % || stabil || &lt;br&gt; |-</v>
      </c>
    </row>
    <row r="90" spans="1:14" ht="15.9" customHeight="1">
      <c r="A90" s="73">
        <v>20</v>
      </c>
      <c r="B90" s="81" t="s">
        <v>15</v>
      </c>
      <c r="C90" s="73">
        <v>46</v>
      </c>
      <c r="D90" s="73">
        <v>4.0000000000000001E-3</v>
      </c>
      <c r="E90" t="s">
        <v>1175</v>
      </c>
      <c r="G90" t="str">
        <f t="shared" si="0"/>
        <v>[http://atom.kaeri.re.kr/cgi-bin/nuclide?nuc=Ca-46 &lt;sub&gt;46&lt;/sub&gt;Ca]</v>
      </c>
      <c r="H90" t="str">
        <f t="shared" si="1"/>
        <v>0,004 % || stabil</v>
      </c>
      <c r="I90" t="str">
        <f t="shared" si="2"/>
        <v xml:space="preserve"> | [http://atom.kaeri.re.kr/cgi-bin/nuclide?nuc=Ca-46 &lt;sub&gt;46&lt;/sub&gt;Ca] || 0,004 % || stabil || </v>
      </c>
      <c r="N90" t="str">
        <f t="shared" si="3"/>
        <v xml:space="preserve"> | [http://atom.kaeri.re.kr/cgi-bin/nuclide?nuc=Ca-46 &lt;sub&gt;46&lt;/sub&gt;Ca] || 0,004 % || stabil || &lt;br&gt; |-</v>
      </c>
    </row>
    <row r="91" spans="1:14" ht="15.9" customHeight="1">
      <c r="A91" s="73">
        <v>20</v>
      </c>
      <c r="B91" s="81" t="s">
        <v>15</v>
      </c>
      <c r="C91" s="73">
        <v>48</v>
      </c>
      <c r="D91" s="73">
        <v>0.187</v>
      </c>
      <c r="E91" t="s">
        <v>1175</v>
      </c>
      <c r="G91" t="str">
        <f t="shared" si="0"/>
        <v>[http://atom.kaeri.re.kr/cgi-bin/nuclide?nuc=Ca-48 &lt;sub&gt;48&lt;/sub&gt;Ca]</v>
      </c>
      <c r="H91" t="str">
        <f t="shared" si="1"/>
        <v>0,187 % || stabil</v>
      </c>
      <c r="I91" t="str">
        <f t="shared" si="2"/>
        <v xml:space="preserve"> | [http://atom.kaeri.re.kr/cgi-bin/nuclide?nuc=Ca-48 &lt;sub&gt;48&lt;/sub&gt;Ca] || 0,187 % || stabil || </v>
      </c>
      <c r="N91" t="str">
        <f t="shared" si="3"/>
        <v xml:space="preserve"> | [http://atom.kaeri.re.kr/cgi-bin/nuclide?nuc=Ca-48 &lt;sub&gt;48&lt;/sub&gt;Ca] || 0,187 % || stabil || &lt;br&gt; |-</v>
      </c>
    </row>
    <row r="92" spans="1:14" ht="15.9" customHeight="1">
      <c r="A92">
        <v>20</v>
      </c>
      <c r="B92" s="83" t="s">
        <v>15</v>
      </c>
      <c r="C92">
        <v>999</v>
      </c>
      <c r="D92" t="s">
        <v>16</v>
      </c>
      <c r="E92" t="s">
        <v>1175</v>
      </c>
      <c r="N92" t="str">
        <f>CONCATENATE(" |}&lt;br&gt;* [http://atom.kaeri.re.kr/cgi-bin/nuclide?nuc=",B92," alle bekannten ",D92,"-Isotope]")</f>
        <v xml:space="preserve"> |}&lt;br&gt;* [http://atom.kaeri.re.kr/cgi-bin/nuclide?nuc=Ca alle bekannten Calcium-Isotope]</v>
      </c>
    </row>
    <row r="93" spans="1:14" ht="15.9" customHeight="1">
      <c r="A93">
        <v>21</v>
      </c>
      <c r="B93" s="83" t="s">
        <v>19</v>
      </c>
      <c r="C93" s="73">
        <v>0</v>
      </c>
      <c r="D93" t="s">
        <v>20</v>
      </c>
      <c r="E93" t="s">
        <v>1175</v>
      </c>
      <c r="N93" t="str">
        <f>CONCATENATE("=== [[",D93,"]] ===&lt;br&gt;{| {{tabelle}}&lt;br&gt;! Isotop !! ",$D$1," !! [[",$E$1,"]] !! ",$F$1," &lt;br&gt; |-")</f>
        <v>=== [[Scandium]] ===&lt;br&gt;{| {{tabelle}}&lt;br&gt;! Isotop !! natürliche Häufigkeit !! [[Halbwertszeit]] !! Herkunft, techn. Bedeutung &lt;br&gt; |-</v>
      </c>
    </row>
    <row r="94" spans="1:14" ht="15.9" customHeight="1">
      <c r="A94" s="73">
        <v>21</v>
      </c>
      <c r="B94" s="81" t="s">
        <v>19</v>
      </c>
      <c r="C94" s="73">
        <v>45</v>
      </c>
      <c r="D94" s="73">
        <v>100</v>
      </c>
      <c r="E94" t="s">
        <v>1175</v>
      </c>
      <c r="G94" t="str">
        <f>CONCATENATE("[","http://atom.kaeri.re.kr/cgi-bin/nuclide?nuc=",B94,"-",C94," &lt;sub&gt;",C94,"&lt;/sub&gt;",B94,"]")</f>
        <v>[http://atom.kaeri.re.kr/cgi-bin/nuclide?nuc=Sc-45 &lt;sub&gt;45&lt;/sub&gt;Sc]</v>
      </c>
      <c r="H94" t="str">
        <f>CONCATENATE(D94," % || ",E94)</f>
        <v>100 % || stabil</v>
      </c>
      <c r="I94" t="str">
        <f>CONCATENATE(" | ",G94," || ",H94," || ",F94)</f>
        <v xml:space="preserve"> | [http://atom.kaeri.re.kr/cgi-bin/nuclide?nuc=Sc-45 &lt;sub&gt;45&lt;/sub&gt;Sc] || 100 % || stabil || </v>
      </c>
      <c r="N94" t="str">
        <f>CONCATENATE(I94,"&lt;br&gt;"," |-")</f>
        <v xml:space="preserve"> | [http://atom.kaeri.re.kr/cgi-bin/nuclide?nuc=Sc-45 &lt;sub&gt;45&lt;/sub&gt;Sc] || 100 % || stabil || &lt;br&gt; |-</v>
      </c>
    </row>
    <row r="95" spans="1:14" ht="15.9" customHeight="1">
      <c r="A95">
        <v>21</v>
      </c>
      <c r="B95" s="83" t="s">
        <v>19</v>
      </c>
      <c r="C95">
        <v>999</v>
      </c>
      <c r="D95" t="s">
        <v>20</v>
      </c>
      <c r="E95" t="s">
        <v>1175</v>
      </c>
      <c r="N95" t="str">
        <f>CONCATENATE(" |}&lt;br&gt;* [http://atom.kaeri.re.kr/cgi-bin/nuclide?nuc=",B95," alle bekannten ",D95,"-Isotope]")</f>
        <v xml:space="preserve"> |}&lt;br&gt;* [http://atom.kaeri.re.kr/cgi-bin/nuclide?nuc=Sc alle bekannten Scandium-Isotope]</v>
      </c>
    </row>
    <row r="96" spans="1:14" ht="15.9" customHeight="1">
      <c r="A96">
        <v>22</v>
      </c>
      <c r="B96" s="83" t="s">
        <v>22</v>
      </c>
      <c r="C96">
        <v>0</v>
      </c>
      <c r="D96" t="s">
        <v>23</v>
      </c>
      <c r="E96" t="s">
        <v>1175</v>
      </c>
      <c r="N96" t="str">
        <f>CONCATENATE("=== [[",D96,"]] ===&lt;br&gt;{| {{tabelle}}&lt;br&gt;! Isotop !! ",$D$1," !! [[",$E$1,"]] !! ",$F$1," &lt;br&gt; |-")</f>
        <v>=== [[Titan]] ===&lt;br&gt;{| {{tabelle}}&lt;br&gt;! Isotop !! natürliche Häufigkeit !! [[Halbwertszeit]] !! Herkunft, techn. Bedeutung &lt;br&gt; |-</v>
      </c>
    </row>
    <row r="97" spans="1:14" ht="15.9" customHeight="1">
      <c r="A97" s="73">
        <v>22</v>
      </c>
      <c r="B97" s="81" t="s">
        <v>22</v>
      </c>
      <c r="C97" s="73">
        <v>46</v>
      </c>
      <c r="D97" s="73">
        <v>8.25</v>
      </c>
      <c r="E97" t="s">
        <v>1175</v>
      </c>
      <c r="G97" t="str">
        <f>CONCATENATE("[","http://atom.kaeri.re.kr/cgi-bin/nuclide?nuc=",B97,"-",C97," &lt;sub&gt;",C97,"&lt;/sub&gt;",B97,"]")</f>
        <v>[http://atom.kaeri.re.kr/cgi-bin/nuclide?nuc=Ti-46 &lt;sub&gt;46&lt;/sub&gt;Ti]</v>
      </c>
      <c r="H97" t="str">
        <f>CONCATENATE(D97," % || ",E97)</f>
        <v>8,25 % || stabil</v>
      </c>
      <c r="I97" t="str">
        <f>CONCATENATE(" | ",G97," || ",H97," || ",F97)</f>
        <v xml:space="preserve"> | [http://atom.kaeri.re.kr/cgi-bin/nuclide?nuc=Ti-46 &lt;sub&gt;46&lt;/sub&gt;Ti] || 8,25 % || stabil || </v>
      </c>
      <c r="N97" t="str">
        <f>CONCATENATE(I97,"&lt;br&gt;"," |-")</f>
        <v xml:space="preserve"> | [http://atom.kaeri.re.kr/cgi-bin/nuclide?nuc=Ti-46 &lt;sub&gt;46&lt;/sub&gt;Ti] || 8,25 % || stabil || &lt;br&gt; |-</v>
      </c>
    </row>
    <row r="98" spans="1:14" ht="15.9" customHeight="1">
      <c r="A98" s="73">
        <v>22</v>
      </c>
      <c r="B98" s="81" t="s">
        <v>22</v>
      </c>
      <c r="C98" s="73">
        <v>47</v>
      </c>
      <c r="D98" s="73">
        <v>7.44</v>
      </c>
      <c r="E98" t="s">
        <v>1175</v>
      </c>
      <c r="G98" t="str">
        <f>CONCATENATE("[","http://atom.kaeri.re.kr/cgi-bin/nuclide?nuc=",B98,"-",C98," &lt;sub&gt;",C98,"&lt;/sub&gt;",B98,"]")</f>
        <v>[http://atom.kaeri.re.kr/cgi-bin/nuclide?nuc=Ti-47 &lt;sub&gt;47&lt;/sub&gt;Ti]</v>
      </c>
      <c r="H98" t="str">
        <f>CONCATENATE(D98," % || ",E98)</f>
        <v>7,44 % || stabil</v>
      </c>
      <c r="I98" t="str">
        <f>CONCATENATE(" | ",G98," || ",H98," || ",F98)</f>
        <v xml:space="preserve"> | [http://atom.kaeri.re.kr/cgi-bin/nuclide?nuc=Ti-47 &lt;sub&gt;47&lt;/sub&gt;Ti] || 7,44 % || stabil || </v>
      </c>
      <c r="N98" t="str">
        <f>CONCATENATE(I98,"&lt;br&gt;"," |-")</f>
        <v xml:space="preserve"> | [http://atom.kaeri.re.kr/cgi-bin/nuclide?nuc=Ti-47 &lt;sub&gt;47&lt;/sub&gt;Ti] || 7,44 % || stabil || &lt;br&gt; |-</v>
      </c>
    </row>
    <row r="99" spans="1:14" ht="15.9" customHeight="1">
      <c r="A99" s="73">
        <v>22</v>
      </c>
      <c r="B99" s="81" t="s">
        <v>22</v>
      </c>
      <c r="C99" s="73">
        <v>48</v>
      </c>
      <c r="D99" s="73">
        <v>73.72</v>
      </c>
      <c r="E99" t="s">
        <v>1175</v>
      </c>
      <c r="G99" t="str">
        <f>CONCATENATE("[","http://atom.kaeri.re.kr/cgi-bin/nuclide?nuc=",B99,"-",C99," &lt;sub&gt;",C99,"&lt;/sub&gt;",B99,"]")</f>
        <v>[http://atom.kaeri.re.kr/cgi-bin/nuclide?nuc=Ti-48 &lt;sub&gt;48&lt;/sub&gt;Ti]</v>
      </c>
      <c r="H99" t="str">
        <f>CONCATENATE(D99," % || ",E99)</f>
        <v>73,72 % || stabil</v>
      </c>
      <c r="I99" t="str">
        <f>CONCATENATE(" | ",G99," || ",H99," || ",F99)</f>
        <v xml:space="preserve"> | [http://atom.kaeri.re.kr/cgi-bin/nuclide?nuc=Ti-48 &lt;sub&gt;48&lt;/sub&gt;Ti] || 73,72 % || stabil || </v>
      </c>
      <c r="N99" t="str">
        <f>CONCATENATE(I99,"&lt;br&gt;"," |-")</f>
        <v xml:space="preserve"> | [http://atom.kaeri.re.kr/cgi-bin/nuclide?nuc=Ti-48 &lt;sub&gt;48&lt;/sub&gt;Ti] || 73,72 % || stabil || &lt;br&gt; |-</v>
      </c>
    </row>
    <row r="100" spans="1:14" ht="15.9" customHeight="1">
      <c r="A100" s="73">
        <v>22</v>
      </c>
      <c r="B100" s="81" t="s">
        <v>22</v>
      </c>
      <c r="C100" s="73">
        <v>49</v>
      </c>
      <c r="D100" s="73">
        <v>5.41</v>
      </c>
      <c r="E100" t="s">
        <v>1175</v>
      </c>
      <c r="G100" t="str">
        <f>CONCATENATE("[","http://atom.kaeri.re.kr/cgi-bin/nuclide?nuc=",B100,"-",C100," &lt;sub&gt;",C100,"&lt;/sub&gt;",B100,"]")</f>
        <v>[http://atom.kaeri.re.kr/cgi-bin/nuclide?nuc=Ti-49 &lt;sub&gt;49&lt;/sub&gt;Ti]</v>
      </c>
      <c r="H100" t="str">
        <f>CONCATENATE(D100," % || ",E100)</f>
        <v>5,41 % || stabil</v>
      </c>
      <c r="I100" t="str">
        <f>CONCATENATE(" | ",G100," || ",H100," || ",F100)</f>
        <v xml:space="preserve"> | [http://atom.kaeri.re.kr/cgi-bin/nuclide?nuc=Ti-49 &lt;sub&gt;49&lt;/sub&gt;Ti] || 5,41 % || stabil || </v>
      </c>
      <c r="N100" t="str">
        <f>CONCATENATE(I100,"&lt;br&gt;"," |-")</f>
        <v xml:space="preserve"> | [http://atom.kaeri.re.kr/cgi-bin/nuclide?nuc=Ti-49 &lt;sub&gt;49&lt;/sub&gt;Ti] || 5,41 % || stabil || &lt;br&gt; |-</v>
      </c>
    </row>
    <row r="101" spans="1:14" ht="15.9" customHeight="1">
      <c r="A101" s="73">
        <v>22</v>
      </c>
      <c r="B101" s="81" t="s">
        <v>22</v>
      </c>
      <c r="C101" s="73">
        <v>50</v>
      </c>
      <c r="D101" s="73">
        <v>5.18</v>
      </c>
      <c r="E101" t="s">
        <v>1175</v>
      </c>
      <c r="G101" t="str">
        <f>CONCATENATE("[","http://atom.kaeri.re.kr/cgi-bin/nuclide?nuc=",B101,"-",C101," &lt;sub&gt;",C101,"&lt;/sub&gt;",B101,"]")</f>
        <v>[http://atom.kaeri.re.kr/cgi-bin/nuclide?nuc=Ti-50 &lt;sub&gt;50&lt;/sub&gt;Ti]</v>
      </c>
      <c r="H101" t="str">
        <f>CONCATENATE(D101," % || ",E101)</f>
        <v>5,18 % || stabil</v>
      </c>
      <c r="I101" t="str">
        <f>CONCATENATE(" | ",G101," || ",H101," || ",F101)</f>
        <v xml:space="preserve"> | [http://atom.kaeri.re.kr/cgi-bin/nuclide?nuc=Ti-50 &lt;sub&gt;50&lt;/sub&gt;Ti] || 5,18 % || stabil || </v>
      </c>
      <c r="N101" t="str">
        <f>CONCATENATE(I101,"&lt;br&gt;"," |-")</f>
        <v xml:space="preserve"> | [http://atom.kaeri.re.kr/cgi-bin/nuclide?nuc=Ti-50 &lt;sub&gt;50&lt;/sub&gt;Ti] || 5,18 % || stabil || &lt;br&gt; |-</v>
      </c>
    </row>
    <row r="102" spans="1:14" ht="15.9" customHeight="1">
      <c r="A102">
        <v>22</v>
      </c>
      <c r="B102" s="83" t="s">
        <v>22</v>
      </c>
      <c r="C102">
        <v>999</v>
      </c>
      <c r="D102" t="s">
        <v>23</v>
      </c>
      <c r="E102" t="s">
        <v>1175</v>
      </c>
      <c r="N102" t="str">
        <f>CONCATENATE(" |}&lt;br&gt;* [http://atom.kaeri.re.kr/cgi-bin/nuclide?nuc=",B102," alle bekannten ",D102,"-Isotope]")</f>
        <v xml:space="preserve"> |}&lt;br&gt;* [http://atom.kaeri.re.kr/cgi-bin/nuclide?nuc=Ti alle bekannten Titan-Isotope]</v>
      </c>
    </row>
    <row r="103" spans="1:14" ht="15.9" customHeight="1">
      <c r="A103">
        <v>23</v>
      </c>
      <c r="B103" s="83" t="s">
        <v>25</v>
      </c>
      <c r="C103" s="73">
        <v>0</v>
      </c>
      <c r="D103" t="s">
        <v>26</v>
      </c>
      <c r="E103" t="s">
        <v>1175</v>
      </c>
      <c r="N103" t="str">
        <f>CONCATENATE("=== [[",D103,"]] ===&lt;br&gt;{| {{tabelle}}&lt;br&gt;! Isotop !! ",$D$1," !! [[",$E$1,"]] !! ",$F$1," &lt;br&gt; |-")</f>
        <v>=== [[Vanadium]] ===&lt;br&gt;{| {{tabelle}}&lt;br&gt;! Isotop !! natürliche Häufigkeit !! [[Halbwertszeit]] !! Herkunft, techn. Bedeutung &lt;br&gt; |-</v>
      </c>
    </row>
    <row r="104" spans="1:14" ht="15.9" customHeight="1">
      <c r="A104" s="73">
        <v>23</v>
      </c>
      <c r="B104" s="81" t="s">
        <v>25</v>
      </c>
      <c r="C104" s="73">
        <v>50</v>
      </c>
      <c r="D104" s="73">
        <v>0.25</v>
      </c>
      <c r="E104" t="s">
        <v>1175</v>
      </c>
      <c r="G104" t="str">
        <f>CONCATENATE("[","http://atom.kaeri.re.kr/cgi-bin/nuclide?nuc=",B104,"-",C104," &lt;sub&gt;",C104,"&lt;/sub&gt;",B104,"]")</f>
        <v>[http://atom.kaeri.re.kr/cgi-bin/nuclide?nuc=V-50 &lt;sub&gt;50&lt;/sub&gt;V]</v>
      </c>
      <c r="H104" t="str">
        <f>CONCATENATE(D104," % || ",E104)</f>
        <v>0,25 % || stabil</v>
      </c>
      <c r="I104" t="str">
        <f>CONCATENATE(" | ",G104," || ",H104," || ",F104)</f>
        <v xml:space="preserve"> | [http://atom.kaeri.re.kr/cgi-bin/nuclide?nuc=V-50 &lt;sub&gt;50&lt;/sub&gt;V] || 0,25 % || stabil || </v>
      </c>
      <c r="N104" t="str">
        <f>CONCATENATE(I104,"&lt;br&gt;"," |-")</f>
        <v xml:space="preserve"> | [http://atom.kaeri.re.kr/cgi-bin/nuclide?nuc=V-50 &lt;sub&gt;50&lt;/sub&gt;V] || 0,25 % || stabil || &lt;br&gt; |-</v>
      </c>
    </row>
    <row r="105" spans="1:14" ht="15.9" customHeight="1">
      <c r="A105" s="73">
        <v>23</v>
      </c>
      <c r="B105" s="81" t="s">
        <v>25</v>
      </c>
      <c r="C105" s="73">
        <v>51</v>
      </c>
      <c r="D105" s="73">
        <v>99.75</v>
      </c>
      <c r="E105" t="s">
        <v>1175</v>
      </c>
      <c r="G105" t="str">
        <f>CONCATENATE("[","http://atom.kaeri.re.kr/cgi-bin/nuclide?nuc=",B105,"-",C105," &lt;sub&gt;",C105,"&lt;/sub&gt;",B105,"]")</f>
        <v>[http://atom.kaeri.re.kr/cgi-bin/nuclide?nuc=V-51 &lt;sub&gt;51&lt;/sub&gt;V]</v>
      </c>
      <c r="H105" t="str">
        <f>CONCATENATE(D105," % || ",E105)</f>
        <v>99,75 % || stabil</v>
      </c>
      <c r="I105" t="str">
        <f>CONCATENATE(" | ",G105," || ",H105," || ",F105)</f>
        <v xml:space="preserve"> | [http://atom.kaeri.re.kr/cgi-bin/nuclide?nuc=V-51 &lt;sub&gt;51&lt;/sub&gt;V] || 99,75 % || stabil || </v>
      </c>
      <c r="N105" t="str">
        <f>CONCATENATE(I105,"&lt;br&gt;"," |-")</f>
        <v xml:space="preserve"> | [http://atom.kaeri.re.kr/cgi-bin/nuclide?nuc=V-51 &lt;sub&gt;51&lt;/sub&gt;V] || 99,75 % || stabil || &lt;br&gt; |-</v>
      </c>
    </row>
    <row r="106" spans="1:14" ht="15.9" customHeight="1">
      <c r="A106">
        <v>23</v>
      </c>
      <c r="B106" s="83" t="s">
        <v>25</v>
      </c>
      <c r="C106">
        <v>999</v>
      </c>
      <c r="D106" t="s">
        <v>26</v>
      </c>
      <c r="E106" t="s">
        <v>1175</v>
      </c>
      <c r="N106" t="str">
        <f>CONCATENATE(" |}&lt;br&gt;* [http://atom.kaeri.re.kr/cgi-bin/nuclide?nuc=",B106," alle bekannten ",D106,"-Isotope]")</f>
        <v xml:space="preserve"> |}&lt;br&gt;* [http://atom.kaeri.re.kr/cgi-bin/nuclide?nuc=V alle bekannten Vanadium-Isotope]</v>
      </c>
    </row>
    <row r="107" spans="1:14" ht="15.9" customHeight="1">
      <c r="A107">
        <v>24</v>
      </c>
      <c r="B107" s="83" t="s">
        <v>29</v>
      </c>
      <c r="C107" s="73">
        <v>0</v>
      </c>
      <c r="D107" t="s">
        <v>30</v>
      </c>
      <c r="E107" t="s">
        <v>1175</v>
      </c>
      <c r="N107" t="str">
        <f>CONCATENATE("=== [[",D107,"]] ===&lt;br&gt;{| {{tabelle}}&lt;br&gt;! Isotop !! ",$D$1," !! [[",$E$1,"]] !! ",$F$1," &lt;br&gt; |-")</f>
        <v>=== [[Chrom]] ===&lt;br&gt;{| {{tabelle}}&lt;br&gt;! Isotop !! natürliche Häufigkeit !! [[Halbwertszeit]] !! Herkunft, techn. Bedeutung &lt;br&gt; |-</v>
      </c>
    </row>
    <row r="108" spans="1:14" ht="15.9" customHeight="1">
      <c r="A108" s="73">
        <v>24</v>
      </c>
      <c r="B108" s="81" t="s">
        <v>29</v>
      </c>
      <c r="C108" s="73">
        <v>50</v>
      </c>
      <c r="D108" s="73">
        <v>4.3449999999999998</v>
      </c>
      <c r="E108" t="s">
        <v>1175</v>
      </c>
      <c r="G108" t="str">
        <f>CONCATENATE("[","http://atom.kaeri.re.kr/cgi-bin/nuclide?nuc=",B108,"-",C108," &lt;sub&gt;",C108,"&lt;/sub&gt;",B108,"]")</f>
        <v>[http://atom.kaeri.re.kr/cgi-bin/nuclide?nuc=Cr-50 &lt;sub&gt;50&lt;/sub&gt;Cr]</v>
      </c>
      <c r="H108" t="str">
        <f>CONCATENATE(D108," % || ",E108)</f>
        <v>4,345 % || stabil</v>
      </c>
      <c r="I108" t="str">
        <f>CONCATENATE(" | ",G108," || ",H108," || ",F108)</f>
        <v xml:space="preserve"> | [http://atom.kaeri.re.kr/cgi-bin/nuclide?nuc=Cr-50 &lt;sub&gt;50&lt;/sub&gt;Cr] || 4,345 % || stabil || </v>
      </c>
      <c r="N108" t="str">
        <f>CONCATENATE(I108,"&lt;br&gt;"," |-")</f>
        <v xml:space="preserve"> | [http://atom.kaeri.re.kr/cgi-bin/nuclide?nuc=Cr-50 &lt;sub&gt;50&lt;/sub&gt;Cr] || 4,345 % || stabil || &lt;br&gt; |-</v>
      </c>
    </row>
    <row r="109" spans="1:14" ht="15.9" customHeight="1">
      <c r="A109" s="73">
        <v>24</v>
      </c>
      <c r="B109" s="81" t="s">
        <v>29</v>
      </c>
      <c r="C109" s="73">
        <v>52</v>
      </c>
      <c r="D109" s="73">
        <v>83.789000000000001</v>
      </c>
      <c r="E109" t="s">
        <v>1175</v>
      </c>
      <c r="G109" t="str">
        <f>CONCATENATE("[","http://atom.kaeri.re.kr/cgi-bin/nuclide?nuc=",B109,"-",C109," &lt;sub&gt;",C109,"&lt;/sub&gt;",B109,"]")</f>
        <v>[http://atom.kaeri.re.kr/cgi-bin/nuclide?nuc=Cr-52 &lt;sub&gt;52&lt;/sub&gt;Cr]</v>
      </c>
      <c r="H109" t="str">
        <f>CONCATENATE(D109," % || ",E109)</f>
        <v>83,789 % || stabil</v>
      </c>
      <c r="I109" t="str">
        <f>CONCATENATE(" | ",G109," || ",H109," || ",F109)</f>
        <v xml:space="preserve"> | [http://atom.kaeri.re.kr/cgi-bin/nuclide?nuc=Cr-52 &lt;sub&gt;52&lt;/sub&gt;Cr] || 83,789 % || stabil || </v>
      </c>
      <c r="N109" t="str">
        <f>CONCATENATE(I109,"&lt;br&gt;"," |-")</f>
        <v xml:space="preserve"> | [http://atom.kaeri.re.kr/cgi-bin/nuclide?nuc=Cr-52 &lt;sub&gt;52&lt;/sub&gt;Cr] || 83,789 % || stabil || &lt;br&gt; |-</v>
      </c>
    </row>
    <row r="110" spans="1:14" ht="15.9" customHeight="1">
      <c r="A110" s="73">
        <v>24</v>
      </c>
      <c r="B110" s="81" t="s">
        <v>29</v>
      </c>
      <c r="C110" s="73">
        <v>53</v>
      </c>
      <c r="D110" s="73">
        <v>9.5009999999999994</v>
      </c>
      <c r="E110" t="s">
        <v>1175</v>
      </c>
      <c r="G110" t="str">
        <f>CONCATENATE("[","http://atom.kaeri.re.kr/cgi-bin/nuclide?nuc=",B110,"-",C110," &lt;sub&gt;",C110,"&lt;/sub&gt;",B110,"]")</f>
        <v>[http://atom.kaeri.re.kr/cgi-bin/nuclide?nuc=Cr-53 &lt;sub&gt;53&lt;/sub&gt;Cr]</v>
      </c>
      <c r="H110" t="str">
        <f>CONCATENATE(D110," % || ",E110)</f>
        <v>9,501 % || stabil</v>
      </c>
      <c r="I110" t="str">
        <f>CONCATENATE(" | ",G110," || ",H110," || ",F110)</f>
        <v xml:space="preserve"> | [http://atom.kaeri.re.kr/cgi-bin/nuclide?nuc=Cr-53 &lt;sub&gt;53&lt;/sub&gt;Cr] || 9,501 % || stabil || </v>
      </c>
      <c r="N110" t="str">
        <f>CONCATENATE(I110,"&lt;br&gt;"," |-")</f>
        <v xml:space="preserve"> | [http://atom.kaeri.re.kr/cgi-bin/nuclide?nuc=Cr-53 &lt;sub&gt;53&lt;/sub&gt;Cr] || 9,501 % || stabil || &lt;br&gt; |-</v>
      </c>
    </row>
    <row r="111" spans="1:14" ht="15.9" customHeight="1">
      <c r="A111" s="73">
        <v>24</v>
      </c>
      <c r="B111" s="81" t="s">
        <v>29</v>
      </c>
      <c r="C111" s="73">
        <v>54</v>
      </c>
      <c r="D111" s="73">
        <v>2.3650000000000002</v>
      </c>
      <c r="E111" t="s">
        <v>1175</v>
      </c>
      <c r="G111" t="str">
        <f>CONCATENATE("[","http://atom.kaeri.re.kr/cgi-bin/nuclide?nuc=",B111,"-",C111," &lt;sub&gt;",C111,"&lt;/sub&gt;",B111,"]")</f>
        <v>[http://atom.kaeri.re.kr/cgi-bin/nuclide?nuc=Cr-54 &lt;sub&gt;54&lt;/sub&gt;Cr]</v>
      </c>
      <c r="H111" t="str">
        <f>CONCATENATE(D111," % || ",E111)</f>
        <v>2,365 % || stabil</v>
      </c>
      <c r="I111" t="str">
        <f>CONCATENATE(" | ",G111," || ",H111," || ",F111)</f>
        <v xml:space="preserve"> | [http://atom.kaeri.re.kr/cgi-bin/nuclide?nuc=Cr-54 &lt;sub&gt;54&lt;/sub&gt;Cr] || 2,365 % || stabil || </v>
      </c>
      <c r="N111" t="str">
        <f>CONCATENATE(I111,"&lt;br&gt;"," |-")</f>
        <v xml:space="preserve"> | [http://atom.kaeri.re.kr/cgi-bin/nuclide?nuc=Cr-54 &lt;sub&gt;54&lt;/sub&gt;Cr] || 2,365 % || stabil || &lt;br&gt; |-</v>
      </c>
    </row>
    <row r="112" spans="1:14" ht="15.9" customHeight="1">
      <c r="A112">
        <v>24</v>
      </c>
      <c r="B112" s="83" t="s">
        <v>29</v>
      </c>
      <c r="C112">
        <v>999</v>
      </c>
      <c r="D112" t="s">
        <v>30</v>
      </c>
      <c r="E112" t="s">
        <v>1175</v>
      </c>
      <c r="N112" t="str">
        <f>CONCATENATE(" |}&lt;br&gt;* [http://atom.kaeri.re.kr/cgi-bin/nuclide?nuc=",B112," alle bekannten ",D112,"-Isotope]")</f>
        <v xml:space="preserve"> |}&lt;br&gt;* [http://atom.kaeri.re.kr/cgi-bin/nuclide?nuc=Cr alle bekannten Chrom-Isotope]</v>
      </c>
    </row>
    <row r="113" spans="1:14" ht="15.9" customHeight="1">
      <c r="A113">
        <v>25</v>
      </c>
      <c r="B113" s="83" t="s">
        <v>33</v>
      </c>
      <c r="C113" s="73">
        <v>0</v>
      </c>
      <c r="D113" t="s">
        <v>34</v>
      </c>
      <c r="E113" t="s">
        <v>1175</v>
      </c>
      <c r="N113" t="str">
        <f>CONCATENATE("=== [[",D113,"]] ===&lt;br&gt;{| {{tabelle}}&lt;br&gt;! Isotop !! ",$D$1," !! [[",$E$1,"]] !! ",$F$1," &lt;br&gt; |-")</f>
        <v>=== [[Mangan]] ===&lt;br&gt;{| {{tabelle}}&lt;br&gt;! Isotop !! natürliche Häufigkeit !! [[Halbwertszeit]] !! Herkunft, techn. Bedeutung &lt;br&gt; |-</v>
      </c>
    </row>
    <row r="114" spans="1:14" ht="15.9" customHeight="1">
      <c r="A114" s="73">
        <v>25</v>
      </c>
      <c r="B114" s="81" t="s">
        <v>33</v>
      </c>
      <c r="C114" s="73">
        <v>55</v>
      </c>
      <c r="D114" s="73">
        <v>100</v>
      </c>
      <c r="E114" t="s">
        <v>1175</v>
      </c>
      <c r="G114" t="str">
        <f>CONCATENATE("[","http://atom.kaeri.re.kr/cgi-bin/nuclide?nuc=",B114,"-",C114," &lt;sub&gt;",C114,"&lt;/sub&gt;",B114,"]")</f>
        <v>[http://atom.kaeri.re.kr/cgi-bin/nuclide?nuc=Mn-55 &lt;sub&gt;55&lt;/sub&gt;Mn]</v>
      </c>
      <c r="H114" t="str">
        <f>CONCATENATE(D114," % || ",E114)</f>
        <v>100 % || stabil</v>
      </c>
      <c r="I114" t="str">
        <f>CONCATENATE(" | ",G114," || ",H114," || ",F114)</f>
        <v xml:space="preserve"> | [http://atom.kaeri.re.kr/cgi-bin/nuclide?nuc=Mn-55 &lt;sub&gt;55&lt;/sub&gt;Mn] || 100 % || stabil || </v>
      </c>
      <c r="N114" t="str">
        <f>CONCATENATE(I114,"&lt;br&gt;"," |-")</f>
        <v xml:space="preserve"> | [http://atom.kaeri.re.kr/cgi-bin/nuclide?nuc=Mn-55 &lt;sub&gt;55&lt;/sub&gt;Mn] || 100 % || stabil || &lt;br&gt; |-</v>
      </c>
    </row>
    <row r="115" spans="1:14" ht="15.9" customHeight="1">
      <c r="A115">
        <v>25</v>
      </c>
      <c r="B115" s="83" t="s">
        <v>33</v>
      </c>
      <c r="C115">
        <v>999</v>
      </c>
      <c r="D115" t="s">
        <v>34</v>
      </c>
      <c r="E115" t="s">
        <v>1175</v>
      </c>
      <c r="N115" t="str">
        <f>CONCATENATE(" |}&lt;br&gt;* [http://atom.kaeri.re.kr/cgi-bin/nuclide?nuc=",B115," alle bekannten ",D115,"-Isotope]")</f>
        <v xml:space="preserve"> |}&lt;br&gt;* [http://atom.kaeri.re.kr/cgi-bin/nuclide?nuc=Mn alle bekannten Mangan-Isotope]</v>
      </c>
    </row>
    <row r="116" spans="1:14" ht="15.9" customHeight="1">
      <c r="A116">
        <v>26</v>
      </c>
      <c r="B116" s="83" t="s">
        <v>36</v>
      </c>
      <c r="C116" s="73">
        <v>0</v>
      </c>
      <c r="D116" t="s">
        <v>37</v>
      </c>
      <c r="E116" t="s">
        <v>1175</v>
      </c>
      <c r="N116" t="str">
        <f>CONCATENATE("=== [[",D116,"]] ===&lt;br&gt;{| {{tabelle}}&lt;br&gt;! Isotop !! ",$D$1," !! [[",$E$1,"]] !! ",$F$1," &lt;br&gt; |-")</f>
        <v>=== [[Eisen]] ===&lt;br&gt;{| {{tabelle}}&lt;br&gt;! Isotop !! natürliche Häufigkeit !! [[Halbwertszeit]] !! Herkunft, techn. Bedeutung &lt;br&gt; |-</v>
      </c>
    </row>
    <row r="117" spans="1:14" ht="15.9" customHeight="1">
      <c r="A117" s="73">
        <v>26</v>
      </c>
      <c r="B117" s="81" t="s">
        <v>36</v>
      </c>
      <c r="C117" s="73">
        <v>54</v>
      </c>
      <c r="D117" s="73">
        <v>5.8449999999999998</v>
      </c>
      <c r="E117" t="s">
        <v>1175</v>
      </c>
      <c r="G117" t="str">
        <f>CONCATENATE("[","http://atom.kaeri.re.kr/cgi-bin/nuclide?nuc=",B117,"-",C117," &lt;sub&gt;",C117,"&lt;/sub&gt;",B117,"]")</f>
        <v>[http://atom.kaeri.re.kr/cgi-bin/nuclide?nuc=Fe-54 &lt;sub&gt;54&lt;/sub&gt;Fe]</v>
      </c>
      <c r="H117" t="str">
        <f>CONCATENATE(D117," % || ",E117)</f>
        <v>5,845 % || stabil</v>
      </c>
      <c r="I117" t="str">
        <f>CONCATENATE(" | ",G117," || ",H117," || ",F117)</f>
        <v xml:space="preserve"> | [http://atom.kaeri.re.kr/cgi-bin/nuclide?nuc=Fe-54 &lt;sub&gt;54&lt;/sub&gt;Fe] || 5,845 % || stabil || </v>
      </c>
      <c r="N117" t="str">
        <f>CONCATENATE(I117,"&lt;br&gt;"," |-")</f>
        <v xml:space="preserve"> | [http://atom.kaeri.re.kr/cgi-bin/nuclide?nuc=Fe-54 &lt;sub&gt;54&lt;/sub&gt;Fe] || 5,845 % || stabil || &lt;br&gt; |-</v>
      </c>
    </row>
    <row r="118" spans="1:14" ht="15.9" customHeight="1">
      <c r="A118" s="73">
        <v>26</v>
      </c>
      <c r="B118" s="81" t="s">
        <v>36</v>
      </c>
      <c r="C118" s="73">
        <v>56</v>
      </c>
      <c r="D118" s="73">
        <v>91.754000000000005</v>
      </c>
      <c r="E118" t="s">
        <v>1175</v>
      </c>
      <c r="G118" t="str">
        <f>CONCATENATE("[","http://atom.kaeri.re.kr/cgi-bin/nuclide?nuc=",B118,"-",C118," &lt;sub&gt;",C118,"&lt;/sub&gt;",B118,"]")</f>
        <v>[http://atom.kaeri.re.kr/cgi-bin/nuclide?nuc=Fe-56 &lt;sub&gt;56&lt;/sub&gt;Fe]</v>
      </c>
      <c r="H118" t="str">
        <f>CONCATENATE(D118," % || ",E118)</f>
        <v>91,754 % || stabil</v>
      </c>
      <c r="I118" t="str">
        <f>CONCATENATE(" | ",G118," || ",H118," || ",F118)</f>
        <v xml:space="preserve"> | [http://atom.kaeri.re.kr/cgi-bin/nuclide?nuc=Fe-56 &lt;sub&gt;56&lt;/sub&gt;Fe] || 91,754 % || stabil || </v>
      </c>
      <c r="N118" t="str">
        <f>CONCATENATE(I118,"&lt;br&gt;"," |-")</f>
        <v xml:space="preserve"> | [http://atom.kaeri.re.kr/cgi-bin/nuclide?nuc=Fe-56 &lt;sub&gt;56&lt;/sub&gt;Fe] || 91,754 % || stabil || &lt;br&gt; |-</v>
      </c>
    </row>
    <row r="119" spans="1:14" ht="15.9" customHeight="1">
      <c r="A119" s="73">
        <v>26</v>
      </c>
      <c r="B119" s="81" t="s">
        <v>36</v>
      </c>
      <c r="C119" s="73">
        <v>57</v>
      </c>
      <c r="D119" s="73">
        <v>2.1190000000000002</v>
      </c>
      <c r="E119" t="s">
        <v>1175</v>
      </c>
      <c r="G119" t="str">
        <f>CONCATENATE("[","http://atom.kaeri.re.kr/cgi-bin/nuclide?nuc=",B119,"-",C119," &lt;sub&gt;",C119,"&lt;/sub&gt;",B119,"]")</f>
        <v>[http://atom.kaeri.re.kr/cgi-bin/nuclide?nuc=Fe-57 &lt;sub&gt;57&lt;/sub&gt;Fe]</v>
      </c>
      <c r="H119" t="str">
        <f>CONCATENATE(D119," % || ",E119)</f>
        <v>2,119 % || stabil</v>
      </c>
      <c r="I119" t="str">
        <f>CONCATENATE(" | ",G119," || ",H119," || ",F119)</f>
        <v xml:space="preserve"> | [http://atom.kaeri.re.kr/cgi-bin/nuclide?nuc=Fe-57 &lt;sub&gt;57&lt;/sub&gt;Fe] || 2,119 % || stabil || </v>
      </c>
      <c r="N119" t="str">
        <f>CONCATENATE(I119,"&lt;br&gt;"," |-")</f>
        <v xml:space="preserve"> | [http://atom.kaeri.re.kr/cgi-bin/nuclide?nuc=Fe-57 &lt;sub&gt;57&lt;/sub&gt;Fe] || 2,119 % || stabil || &lt;br&gt; |-</v>
      </c>
    </row>
    <row r="120" spans="1:14" ht="15.9" customHeight="1">
      <c r="A120" s="73">
        <v>26</v>
      </c>
      <c r="B120" s="81" t="s">
        <v>36</v>
      </c>
      <c r="C120" s="73">
        <v>58</v>
      </c>
      <c r="D120" s="73">
        <v>0.28199999999999997</v>
      </c>
      <c r="E120" t="s">
        <v>1175</v>
      </c>
      <c r="G120" t="str">
        <f>CONCATENATE("[","http://atom.kaeri.re.kr/cgi-bin/nuclide?nuc=",B120,"-",C120," &lt;sub&gt;",C120,"&lt;/sub&gt;",B120,"]")</f>
        <v>[http://atom.kaeri.re.kr/cgi-bin/nuclide?nuc=Fe-58 &lt;sub&gt;58&lt;/sub&gt;Fe]</v>
      </c>
      <c r="H120" t="str">
        <f>CONCATENATE(D120," % || ",E120)</f>
        <v>0,282 % || stabil</v>
      </c>
      <c r="I120" t="str">
        <f>CONCATENATE(" | ",G120," || ",H120," || ",F120)</f>
        <v xml:space="preserve"> | [http://atom.kaeri.re.kr/cgi-bin/nuclide?nuc=Fe-58 &lt;sub&gt;58&lt;/sub&gt;Fe] || 0,282 % || stabil || </v>
      </c>
      <c r="N120" t="str">
        <f>CONCATENATE(I120,"&lt;br&gt;"," |-")</f>
        <v xml:space="preserve"> | [http://atom.kaeri.re.kr/cgi-bin/nuclide?nuc=Fe-58 &lt;sub&gt;58&lt;/sub&gt;Fe] || 0,282 % || stabil || &lt;br&gt; |-</v>
      </c>
    </row>
    <row r="121" spans="1:14" ht="15.9" customHeight="1">
      <c r="A121">
        <v>26</v>
      </c>
      <c r="B121" s="83" t="s">
        <v>36</v>
      </c>
      <c r="C121">
        <v>999</v>
      </c>
      <c r="D121" t="s">
        <v>37</v>
      </c>
      <c r="E121" t="s">
        <v>1175</v>
      </c>
      <c r="N121" t="str">
        <f>CONCATENATE(" |}&lt;br&gt;* [http://atom.kaeri.re.kr/cgi-bin/nuclide?nuc=",B121," alle bekannten ",D121,"-Isotope]")</f>
        <v xml:space="preserve"> |}&lt;br&gt;* [http://atom.kaeri.re.kr/cgi-bin/nuclide?nuc=Fe alle bekannten Eisen-Isotope]</v>
      </c>
    </row>
    <row r="122" spans="1:14" ht="15.9" customHeight="1">
      <c r="A122">
        <v>27</v>
      </c>
      <c r="B122" s="83" t="s">
        <v>39</v>
      </c>
      <c r="C122" s="73">
        <v>0</v>
      </c>
      <c r="D122" t="s">
        <v>40</v>
      </c>
      <c r="E122" t="s">
        <v>1175</v>
      </c>
      <c r="N122" t="str">
        <f>CONCATENATE("=== [[",D122,"]] ===&lt;br&gt;{| {{tabelle}}&lt;br&gt;! Isotop !! ",$D$1," !! [[",$E$1,"]] !! ",$F$1," &lt;br&gt; |-")</f>
        <v>=== [[Cobalt]] ===&lt;br&gt;{| {{tabelle}}&lt;br&gt;! Isotop !! natürliche Häufigkeit !! [[Halbwertszeit]] !! Herkunft, techn. Bedeutung &lt;br&gt; |-</v>
      </c>
    </row>
    <row r="123" spans="1:14" ht="15.9" customHeight="1">
      <c r="A123" s="73">
        <v>27</v>
      </c>
      <c r="B123" s="81" t="s">
        <v>39</v>
      </c>
      <c r="C123" s="73">
        <v>59</v>
      </c>
      <c r="D123" s="73">
        <v>100</v>
      </c>
      <c r="E123" t="s">
        <v>1175</v>
      </c>
      <c r="G123" t="str">
        <f>CONCATENATE("[","http://atom.kaeri.re.kr/cgi-bin/nuclide?nuc=",B123,"-",C123," &lt;sub&gt;",C123,"&lt;/sub&gt;",B123,"]")</f>
        <v>[http://atom.kaeri.re.kr/cgi-bin/nuclide?nuc=Co-59 &lt;sub&gt;59&lt;/sub&gt;Co]</v>
      </c>
      <c r="H123" t="str">
        <f>CONCATENATE(D123," % || ",E123)</f>
        <v>100 % || stabil</v>
      </c>
      <c r="I123" t="str">
        <f>CONCATENATE(" | ",G123," || ",H123," || ",F123)</f>
        <v xml:space="preserve"> | [http://atom.kaeri.re.kr/cgi-bin/nuclide?nuc=Co-59 &lt;sub&gt;59&lt;/sub&gt;Co] || 100 % || stabil || </v>
      </c>
      <c r="N123" t="str">
        <f>CONCATENATE(I123,"&lt;br&gt;"," |-")</f>
        <v xml:space="preserve"> | [http://atom.kaeri.re.kr/cgi-bin/nuclide?nuc=Co-59 &lt;sub&gt;59&lt;/sub&gt;Co] || 100 % || stabil || &lt;br&gt; |-</v>
      </c>
    </row>
    <row r="124" spans="1:14" s="78" customFormat="1" ht="15.9" customHeight="1">
      <c r="A124" s="73">
        <v>27</v>
      </c>
      <c r="B124" s="82" t="s">
        <v>39</v>
      </c>
      <c r="C124" s="79">
        <v>60</v>
      </c>
      <c r="D124" s="78" t="s">
        <v>1068</v>
      </c>
      <c r="E124" t="s">
        <v>1144</v>
      </c>
      <c r="F124" t="s">
        <v>1197</v>
      </c>
      <c r="G124" t="str">
        <f>CONCATENATE("[","http://atom.kaeri.re.kr/cgi-bin/nuclide?nuc=",B124,"-",C124," &lt;sub&gt;",C124,"&lt;/sub&gt;",B124,"]")</f>
        <v>[http://atom.kaeri.re.kr/cgi-bin/nuclide?nuc=Co-60 &lt;sub&gt;60&lt;/sub&gt;Co]</v>
      </c>
      <c r="H124" t="str">
        <f>CONCATENATE(D124," % || ",E124)</f>
        <v>- % || 5,3 Jahre</v>
      </c>
      <c r="I124" t="str">
        <f>CONCATENATE(" | ",G124," || ",H124," || ",F124)</f>
        <v xml:space="preserve"> | [http://atom.kaeri.re.kr/cgi-bin/nuclide?nuc=Co-60 &lt;sub&gt;60&lt;/sub&gt;Co] || - % || 5,3 Jahre || [[radioaktiv]], Medizin, Kerntechnik</v>
      </c>
      <c r="J124"/>
      <c r="K124"/>
      <c r="L124"/>
      <c r="M124"/>
      <c r="N124" t="str">
        <f>CONCATENATE(I124,"&lt;br&gt;"," |-")</f>
        <v xml:space="preserve"> | [http://atom.kaeri.re.kr/cgi-bin/nuclide?nuc=Co-60 &lt;sub&gt;60&lt;/sub&gt;Co] || - % || 5,3 Jahre || [[radioaktiv]], Medizin, Kerntechnik&lt;br&gt; |-</v>
      </c>
    </row>
    <row r="125" spans="1:14" ht="15.9" customHeight="1">
      <c r="A125">
        <v>27</v>
      </c>
      <c r="B125" s="83" t="s">
        <v>39</v>
      </c>
      <c r="C125">
        <v>999</v>
      </c>
      <c r="D125" t="s">
        <v>40</v>
      </c>
      <c r="E125" t="s">
        <v>1175</v>
      </c>
      <c r="N125" t="str">
        <f>CONCATENATE(" |}&lt;br&gt;* [http://atom.kaeri.re.kr/cgi-bin/nuclide?nuc=",B125," alle bekannten ",D125,"-Isotope]")</f>
        <v xml:space="preserve"> |}&lt;br&gt;* [http://atom.kaeri.re.kr/cgi-bin/nuclide?nuc=Co alle bekannten Cobalt-Isotope]</v>
      </c>
    </row>
    <row r="126" spans="1:14" ht="15.9" customHeight="1">
      <c r="A126">
        <v>28</v>
      </c>
      <c r="B126" s="83" t="s">
        <v>42</v>
      </c>
      <c r="C126" s="73">
        <v>0</v>
      </c>
      <c r="D126" t="s">
        <v>43</v>
      </c>
      <c r="E126" t="s">
        <v>1175</v>
      </c>
      <c r="N126" t="str">
        <f>CONCATENATE("=== [[",D126,"]] ===&lt;br&gt;{| {{tabelle}}&lt;br&gt;! Isotop !! ",$D$1," !! [[",$E$1,"]] !! ",$F$1," &lt;br&gt; |-")</f>
        <v>=== [[Nickel]] ===&lt;br&gt;{| {{tabelle}}&lt;br&gt;! Isotop !! natürliche Häufigkeit !! [[Halbwertszeit]] !! Herkunft, techn. Bedeutung &lt;br&gt; |-</v>
      </c>
    </row>
    <row r="127" spans="1:14" ht="15.9" customHeight="1">
      <c r="A127" s="73">
        <v>28</v>
      </c>
      <c r="B127" s="81" t="s">
        <v>42</v>
      </c>
      <c r="C127" s="73">
        <v>58</v>
      </c>
      <c r="D127" s="73">
        <v>68.076899999999995</v>
      </c>
      <c r="E127" t="s">
        <v>1175</v>
      </c>
      <c r="G127" t="str">
        <f>CONCATENATE("[","http://atom.kaeri.re.kr/cgi-bin/nuclide?nuc=",B127,"-",C127," &lt;sub&gt;",C127,"&lt;/sub&gt;",B127,"]")</f>
        <v>[http://atom.kaeri.re.kr/cgi-bin/nuclide?nuc=Ni-58 &lt;sub&gt;58&lt;/sub&gt;Ni]</v>
      </c>
      <c r="H127" t="str">
        <f>CONCATENATE(D127," % || ",E127)</f>
        <v>68,0769 % || stabil</v>
      </c>
      <c r="I127" t="str">
        <f>CONCATENATE(" | ",G127," || ",H127," || ",F127)</f>
        <v xml:space="preserve"> | [http://atom.kaeri.re.kr/cgi-bin/nuclide?nuc=Ni-58 &lt;sub&gt;58&lt;/sub&gt;Ni] || 68,0769 % || stabil || </v>
      </c>
      <c r="N127" t="str">
        <f>CONCATENATE(I127,"&lt;br&gt;"," |-")</f>
        <v xml:space="preserve"> | [http://atom.kaeri.re.kr/cgi-bin/nuclide?nuc=Ni-58 &lt;sub&gt;58&lt;/sub&gt;Ni] || 68,0769 % || stabil || &lt;br&gt; |-</v>
      </c>
    </row>
    <row r="128" spans="1:14" ht="15.9" customHeight="1">
      <c r="A128" s="73">
        <v>28</v>
      </c>
      <c r="B128" s="81" t="s">
        <v>42</v>
      </c>
      <c r="C128" s="73">
        <v>60</v>
      </c>
      <c r="D128" s="73">
        <v>26.223099999999999</v>
      </c>
      <c r="E128" t="s">
        <v>1175</v>
      </c>
      <c r="G128" t="str">
        <f>CONCATENATE("[","http://atom.kaeri.re.kr/cgi-bin/nuclide?nuc=",B128,"-",C128," &lt;sub&gt;",C128,"&lt;/sub&gt;",B128,"]")</f>
        <v>[http://atom.kaeri.re.kr/cgi-bin/nuclide?nuc=Ni-60 &lt;sub&gt;60&lt;/sub&gt;Ni]</v>
      </c>
      <c r="H128" t="str">
        <f>CONCATENATE(D128," % || ",E128)</f>
        <v>26,2231 % || stabil</v>
      </c>
      <c r="I128" t="str">
        <f>CONCATENATE(" | ",G128," || ",H128," || ",F128)</f>
        <v xml:space="preserve"> | [http://atom.kaeri.re.kr/cgi-bin/nuclide?nuc=Ni-60 &lt;sub&gt;60&lt;/sub&gt;Ni] || 26,2231 % || stabil || </v>
      </c>
      <c r="N128" t="str">
        <f>CONCATENATE(I128,"&lt;br&gt;"," |-")</f>
        <v xml:space="preserve"> | [http://atom.kaeri.re.kr/cgi-bin/nuclide?nuc=Ni-60 &lt;sub&gt;60&lt;/sub&gt;Ni] || 26,2231 % || stabil || &lt;br&gt; |-</v>
      </c>
    </row>
    <row r="129" spans="1:14" ht="15.9" customHeight="1">
      <c r="A129" s="73">
        <v>28</v>
      </c>
      <c r="B129" s="81" t="s">
        <v>42</v>
      </c>
      <c r="C129" s="73">
        <v>61</v>
      </c>
      <c r="D129" s="73">
        <v>1.1398999999999999</v>
      </c>
      <c r="E129" t="s">
        <v>1175</v>
      </c>
      <c r="G129" t="str">
        <f>CONCATENATE("[","http://atom.kaeri.re.kr/cgi-bin/nuclide?nuc=",B129,"-",C129," &lt;sub&gt;",C129,"&lt;/sub&gt;",B129,"]")</f>
        <v>[http://atom.kaeri.re.kr/cgi-bin/nuclide?nuc=Ni-61 &lt;sub&gt;61&lt;/sub&gt;Ni]</v>
      </c>
      <c r="H129" t="str">
        <f>CONCATENATE(D129," % || ",E129)</f>
        <v>1,1399 % || stabil</v>
      </c>
      <c r="I129" t="str">
        <f>CONCATENATE(" | ",G129," || ",H129," || ",F129)</f>
        <v xml:space="preserve"> | [http://atom.kaeri.re.kr/cgi-bin/nuclide?nuc=Ni-61 &lt;sub&gt;61&lt;/sub&gt;Ni] || 1,1399 % || stabil || </v>
      </c>
      <c r="N129" t="str">
        <f>CONCATENATE(I129,"&lt;br&gt;"," |-")</f>
        <v xml:space="preserve"> | [http://atom.kaeri.re.kr/cgi-bin/nuclide?nuc=Ni-61 &lt;sub&gt;61&lt;/sub&gt;Ni] || 1,1399 % || stabil || &lt;br&gt; |-</v>
      </c>
    </row>
    <row r="130" spans="1:14" ht="15.9" customHeight="1">
      <c r="A130" s="73">
        <v>28</v>
      </c>
      <c r="B130" s="81" t="s">
        <v>42</v>
      </c>
      <c r="C130" s="73">
        <v>62</v>
      </c>
      <c r="D130" s="73">
        <v>3.6345000000000001</v>
      </c>
      <c r="E130" t="s">
        <v>1175</v>
      </c>
      <c r="G130" t="str">
        <f>CONCATENATE("[","http://atom.kaeri.re.kr/cgi-bin/nuclide?nuc=",B130,"-",C130," &lt;sub&gt;",C130,"&lt;/sub&gt;",B130,"]")</f>
        <v>[http://atom.kaeri.re.kr/cgi-bin/nuclide?nuc=Ni-62 &lt;sub&gt;62&lt;/sub&gt;Ni]</v>
      </c>
      <c r="H130" t="str">
        <f>CONCATENATE(D130," % || ",E130)</f>
        <v>3,6345 % || stabil</v>
      </c>
      <c r="I130" t="str">
        <f>CONCATENATE(" | ",G130," || ",H130," || ",F130)</f>
        <v xml:space="preserve"> | [http://atom.kaeri.re.kr/cgi-bin/nuclide?nuc=Ni-62 &lt;sub&gt;62&lt;/sub&gt;Ni] || 3,6345 % || stabil || </v>
      </c>
      <c r="N130" t="str">
        <f>CONCATENATE(I130,"&lt;br&gt;"," |-")</f>
        <v xml:space="preserve"> | [http://atom.kaeri.re.kr/cgi-bin/nuclide?nuc=Ni-62 &lt;sub&gt;62&lt;/sub&gt;Ni] || 3,6345 % || stabil || &lt;br&gt; |-</v>
      </c>
    </row>
    <row r="131" spans="1:14" ht="15.9" customHeight="1">
      <c r="A131" s="73">
        <v>28</v>
      </c>
      <c r="B131" s="81" t="s">
        <v>42</v>
      </c>
      <c r="C131" s="73">
        <v>64</v>
      </c>
      <c r="D131" s="73">
        <v>0.92559999999999998</v>
      </c>
      <c r="E131" t="s">
        <v>1175</v>
      </c>
      <c r="G131" t="str">
        <f>CONCATENATE("[","http://atom.kaeri.re.kr/cgi-bin/nuclide?nuc=",B131,"-",C131," &lt;sub&gt;",C131,"&lt;/sub&gt;",B131,"]")</f>
        <v>[http://atom.kaeri.re.kr/cgi-bin/nuclide?nuc=Ni-64 &lt;sub&gt;64&lt;/sub&gt;Ni]</v>
      </c>
      <c r="H131" t="str">
        <f>CONCATENATE(D131," % || ",E131)</f>
        <v>0,9256 % || stabil</v>
      </c>
      <c r="I131" t="str">
        <f>CONCATENATE(" | ",G131," || ",H131," || ",F131)</f>
        <v xml:space="preserve"> | [http://atom.kaeri.re.kr/cgi-bin/nuclide?nuc=Ni-64 &lt;sub&gt;64&lt;/sub&gt;Ni] || 0,9256 % || stabil || </v>
      </c>
      <c r="N131" t="str">
        <f>CONCATENATE(I131,"&lt;br&gt;"," |-")</f>
        <v xml:space="preserve"> | [http://atom.kaeri.re.kr/cgi-bin/nuclide?nuc=Ni-64 &lt;sub&gt;64&lt;/sub&gt;Ni] || 0,9256 % || stabil || &lt;br&gt; |-</v>
      </c>
    </row>
    <row r="132" spans="1:14" ht="15.9" customHeight="1">
      <c r="A132">
        <v>28</v>
      </c>
      <c r="B132" s="83" t="s">
        <v>42</v>
      </c>
      <c r="C132">
        <v>999</v>
      </c>
      <c r="D132" t="s">
        <v>43</v>
      </c>
      <c r="E132" t="s">
        <v>1175</v>
      </c>
      <c r="N132" t="str">
        <f>CONCATENATE(" |}&lt;br&gt;* [http://atom.kaeri.re.kr/cgi-bin/nuclide?nuc=",B132," alle bekannten ",D132,"-Isotope]")</f>
        <v xml:space="preserve"> |}&lt;br&gt;* [http://atom.kaeri.re.kr/cgi-bin/nuclide?nuc=Ni alle bekannten Nickel-Isotope]</v>
      </c>
    </row>
    <row r="133" spans="1:14" ht="15.9" customHeight="1">
      <c r="A133">
        <v>29</v>
      </c>
      <c r="B133" s="83" t="s">
        <v>45</v>
      </c>
      <c r="C133" s="73">
        <v>0</v>
      </c>
      <c r="D133" t="s">
        <v>46</v>
      </c>
      <c r="E133" t="s">
        <v>1175</v>
      </c>
      <c r="N133" t="str">
        <f>CONCATENATE("=== [[",D133,"]] ===&lt;br&gt;{| {{tabelle}}&lt;br&gt;! Isotop !! ",$D$1," !! [[",$E$1,"]] !! ",$F$1," &lt;br&gt; |-")</f>
        <v>=== [[Kupfer]] ===&lt;br&gt;{| {{tabelle}}&lt;br&gt;! Isotop !! natürliche Häufigkeit !! [[Halbwertszeit]] !! Herkunft, techn. Bedeutung &lt;br&gt; |-</v>
      </c>
    </row>
    <row r="134" spans="1:14" ht="15.9" customHeight="1">
      <c r="A134" s="73">
        <v>29</v>
      </c>
      <c r="B134" s="81" t="s">
        <v>45</v>
      </c>
      <c r="C134" s="73">
        <v>63</v>
      </c>
      <c r="D134" s="73">
        <v>69.17</v>
      </c>
      <c r="E134" t="s">
        <v>1175</v>
      </c>
      <c r="G134" t="str">
        <f>CONCATENATE("[","http://atom.kaeri.re.kr/cgi-bin/nuclide?nuc=",B134,"-",C134," &lt;sub&gt;",C134,"&lt;/sub&gt;",B134,"]")</f>
        <v>[http://atom.kaeri.re.kr/cgi-bin/nuclide?nuc=Cu-63 &lt;sub&gt;63&lt;/sub&gt;Cu]</v>
      </c>
      <c r="H134" t="str">
        <f>CONCATENATE(D134," % || ",E134)</f>
        <v>69,17 % || stabil</v>
      </c>
      <c r="I134" t="str">
        <f>CONCATENATE(" | ",G134," || ",H134," || ",F134)</f>
        <v xml:space="preserve"> | [http://atom.kaeri.re.kr/cgi-bin/nuclide?nuc=Cu-63 &lt;sub&gt;63&lt;/sub&gt;Cu] || 69,17 % || stabil || </v>
      </c>
      <c r="N134" t="str">
        <f>CONCATENATE(I134,"&lt;br&gt;"," |-")</f>
        <v xml:space="preserve"> | [http://atom.kaeri.re.kr/cgi-bin/nuclide?nuc=Cu-63 &lt;sub&gt;63&lt;/sub&gt;Cu] || 69,17 % || stabil || &lt;br&gt; |-</v>
      </c>
    </row>
    <row r="135" spans="1:14" ht="15.9" customHeight="1">
      <c r="A135" s="73">
        <v>29</v>
      </c>
      <c r="B135" s="81" t="s">
        <v>45</v>
      </c>
      <c r="C135" s="73">
        <v>65</v>
      </c>
      <c r="D135" s="73">
        <v>30.83</v>
      </c>
      <c r="E135" t="s">
        <v>1175</v>
      </c>
      <c r="G135" t="str">
        <f>CONCATENATE("[","http://atom.kaeri.re.kr/cgi-bin/nuclide?nuc=",B135,"-",C135," &lt;sub&gt;",C135,"&lt;/sub&gt;",B135,"]")</f>
        <v>[http://atom.kaeri.re.kr/cgi-bin/nuclide?nuc=Cu-65 &lt;sub&gt;65&lt;/sub&gt;Cu]</v>
      </c>
      <c r="H135" t="str">
        <f>CONCATENATE(D135," % || ",E135)</f>
        <v>30,83 % || stabil</v>
      </c>
      <c r="I135" t="str">
        <f>CONCATENATE(" | ",G135," || ",H135," || ",F135)</f>
        <v xml:space="preserve"> | [http://atom.kaeri.re.kr/cgi-bin/nuclide?nuc=Cu-65 &lt;sub&gt;65&lt;/sub&gt;Cu] || 30,83 % || stabil || </v>
      </c>
      <c r="N135" t="str">
        <f>CONCATENATE(I135,"&lt;br&gt;"," |-")</f>
        <v xml:space="preserve"> | [http://atom.kaeri.re.kr/cgi-bin/nuclide?nuc=Cu-65 &lt;sub&gt;65&lt;/sub&gt;Cu] || 30,83 % || stabil || &lt;br&gt; |-</v>
      </c>
    </row>
    <row r="136" spans="1:14" ht="15.9" customHeight="1">
      <c r="A136">
        <v>29</v>
      </c>
      <c r="B136" s="83" t="s">
        <v>45</v>
      </c>
      <c r="C136">
        <v>999</v>
      </c>
      <c r="D136" t="s">
        <v>46</v>
      </c>
      <c r="E136" t="s">
        <v>1175</v>
      </c>
      <c r="N136" t="str">
        <f>CONCATENATE(" |}&lt;br&gt;* [http://atom.kaeri.re.kr/cgi-bin/nuclide?nuc=",B136," alle bekannten ",D136,"-Isotope]")</f>
        <v xml:space="preserve"> |}&lt;br&gt;* [http://atom.kaeri.re.kr/cgi-bin/nuclide?nuc=Cu alle bekannten Kupfer-Isotope]</v>
      </c>
    </row>
    <row r="137" spans="1:14" ht="15.9" customHeight="1">
      <c r="A137">
        <v>30</v>
      </c>
      <c r="B137" s="83" t="s">
        <v>49</v>
      </c>
      <c r="C137" s="73">
        <v>0</v>
      </c>
      <c r="D137" t="s">
        <v>50</v>
      </c>
      <c r="E137" t="s">
        <v>1175</v>
      </c>
      <c r="N137" t="str">
        <f>CONCATENATE("=== [[",D137,"]] ===&lt;br&gt;{| {{tabelle}}&lt;br&gt;! Isotop !! ",$D$1," !! [[",$E$1,"]] !! ",$F$1," &lt;br&gt; |-")</f>
        <v>=== [[Zink]] ===&lt;br&gt;{| {{tabelle}}&lt;br&gt;! Isotop !! natürliche Häufigkeit !! [[Halbwertszeit]] !! Herkunft, techn. Bedeutung &lt;br&gt; |-</v>
      </c>
    </row>
    <row r="138" spans="1:14" ht="15.9" customHeight="1">
      <c r="A138" s="73">
        <v>30</v>
      </c>
      <c r="B138" s="81" t="s">
        <v>49</v>
      </c>
      <c r="C138" s="73">
        <v>64</v>
      </c>
      <c r="D138" s="73">
        <v>48.63</v>
      </c>
      <c r="E138" t="s">
        <v>1175</v>
      </c>
      <c r="G138" t="str">
        <f>CONCATENATE("[","http://atom.kaeri.re.kr/cgi-bin/nuclide?nuc=",B138,"-",C138," &lt;sub&gt;",C138,"&lt;/sub&gt;",B138,"]")</f>
        <v>[http://atom.kaeri.re.kr/cgi-bin/nuclide?nuc=Zn-64 &lt;sub&gt;64&lt;/sub&gt;Zn]</v>
      </c>
      <c r="H138" t="str">
        <f>CONCATENATE(D138," % || ",E138)</f>
        <v>48,63 % || stabil</v>
      </c>
      <c r="I138" t="str">
        <f>CONCATENATE(" | ",G138," || ",H138," || ",F138)</f>
        <v xml:space="preserve"> | [http://atom.kaeri.re.kr/cgi-bin/nuclide?nuc=Zn-64 &lt;sub&gt;64&lt;/sub&gt;Zn] || 48,63 % || stabil || </v>
      </c>
      <c r="N138" t="str">
        <f>CONCATENATE(I138,"&lt;br&gt;"," |-")</f>
        <v xml:space="preserve"> | [http://atom.kaeri.re.kr/cgi-bin/nuclide?nuc=Zn-64 &lt;sub&gt;64&lt;/sub&gt;Zn] || 48,63 % || stabil || &lt;br&gt; |-</v>
      </c>
    </row>
    <row r="139" spans="1:14" ht="15.9" customHeight="1">
      <c r="A139" s="73">
        <v>30</v>
      </c>
      <c r="B139" s="81" t="s">
        <v>49</v>
      </c>
      <c r="C139" s="73">
        <v>66</v>
      </c>
      <c r="D139" s="73">
        <v>27.9</v>
      </c>
      <c r="E139" t="s">
        <v>1175</v>
      </c>
      <c r="G139" t="str">
        <f>CONCATENATE("[","http://atom.kaeri.re.kr/cgi-bin/nuclide?nuc=",B139,"-",C139," &lt;sub&gt;",C139,"&lt;/sub&gt;",B139,"]")</f>
        <v>[http://atom.kaeri.re.kr/cgi-bin/nuclide?nuc=Zn-66 &lt;sub&gt;66&lt;/sub&gt;Zn]</v>
      </c>
      <c r="H139" t="str">
        <f>CONCATENATE(D139," % || ",E139)</f>
        <v>27,9 % || stabil</v>
      </c>
      <c r="I139" t="str">
        <f>CONCATENATE(" | ",G139," || ",H139," || ",F139)</f>
        <v xml:space="preserve"> | [http://atom.kaeri.re.kr/cgi-bin/nuclide?nuc=Zn-66 &lt;sub&gt;66&lt;/sub&gt;Zn] || 27,9 % || stabil || </v>
      </c>
      <c r="N139" t="str">
        <f>CONCATENATE(I139,"&lt;br&gt;"," |-")</f>
        <v xml:space="preserve"> | [http://atom.kaeri.re.kr/cgi-bin/nuclide?nuc=Zn-66 &lt;sub&gt;66&lt;/sub&gt;Zn] || 27,9 % || stabil || &lt;br&gt; |-</v>
      </c>
    </row>
    <row r="140" spans="1:14" ht="15.9" customHeight="1">
      <c r="A140" s="73">
        <v>30</v>
      </c>
      <c r="B140" s="81" t="s">
        <v>49</v>
      </c>
      <c r="C140" s="73">
        <v>67</v>
      </c>
      <c r="D140" s="73">
        <v>4.0999999999999996</v>
      </c>
      <c r="E140" t="s">
        <v>1175</v>
      </c>
      <c r="G140" t="str">
        <f>CONCATENATE("[","http://atom.kaeri.re.kr/cgi-bin/nuclide?nuc=",B140,"-",C140," &lt;sub&gt;",C140,"&lt;/sub&gt;",B140,"]")</f>
        <v>[http://atom.kaeri.re.kr/cgi-bin/nuclide?nuc=Zn-67 &lt;sub&gt;67&lt;/sub&gt;Zn]</v>
      </c>
      <c r="H140" t="str">
        <f>CONCATENATE(D140," % || ",E140)</f>
        <v>4,1 % || stabil</v>
      </c>
      <c r="I140" t="str">
        <f>CONCATENATE(" | ",G140," || ",H140," || ",F140)</f>
        <v xml:space="preserve"> | [http://atom.kaeri.re.kr/cgi-bin/nuclide?nuc=Zn-67 &lt;sub&gt;67&lt;/sub&gt;Zn] || 4,1 % || stabil || </v>
      </c>
      <c r="N140" t="str">
        <f>CONCATENATE(I140,"&lt;br&gt;"," |-")</f>
        <v xml:space="preserve"> | [http://atom.kaeri.re.kr/cgi-bin/nuclide?nuc=Zn-67 &lt;sub&gt;67&lt;/sub&gt;Zn] || 4,1 % || stabil || &lt;br&gt; |-</v>
      </c>
    </row>
    <row r="141" spans="1:14" ht="15.9" customHeight="1">
      <c r="A141" s="73">
        <v>30</v>
      </c>
      <c r="B141" s="81" t="s">
        <v>49</v>
      </c>
      <c r="C141" s="73">
        <v>68</v>
      </c>
      <c r="D141" s="73">
        <v>18.75</v>
      </c>
      <c r="E141" t="s">
        <v>1175</v>
      </c>
      <c r="G141" t="str">
        <f>CONCATENATE("[","http://atom.kaeri.re.kr/cgi-bin/nuclide?nuc=",B141,"-",C141," &lt;sub&gt;",C141,"&lt;/sub&gt;",B141,"]")</f>
        <v>[http://atom.kaeri.re.kr/cgi-bin/nuclide?nuc=Zn-68 &lt;sub&gt;68&lt;/sub&gt;Zn]</v>
      </c>
      <c r="H141" t="str">
        <f>CONCATENATE(D141," % || ",E141)</f>
        <v>18,75 % || stabil</v>
      </c>
      <c r="I141" t="str">
        <f>CONCATENATE(" | ",G141," || ",H141," || ",F141)</f>
        <v xml:space="preserve"> | [http://atom.kaeri.re.kr/cgi-bin/nuclide?nuc=Zn-68 &lt;sub&gt;68&lt;/sub&gt;Zn] || 18,75 % || stabil || </v>
      </c>
      <c r="N141" t="str">
        <f>CONCATENATE(I141,"&lt;br&gt;"," |-")</f>
        <v xml:space="preserve"> | [http://atom.kaeri.re.kr/cgi-bin/nuclide?nuc=Zn-68 &lt;sub&gt;68&lt;/sub&gt;Zn] || 18,75 % || stabil || &lt;br&gt; |-</v>
      </c>
    </row>
    <row r="142" spans="1:14" ht="15.9" customHeight="1">
      <c r="A142" s="73">
        <v>30</v>
      </c>
      <c r="B142" s="81" t="s">
        <v>49</v>
      </c>
      <c r="C142" s="73">
        <v>70</v>
      </c>
      <c r="D142" s="73">
        <v>0.62</v>
      </c>
      <c r="E142" t="s">
        <v>1175</v>
      </c>
      <c r="G142" t="str">
        <f>CONCATENATE("[","http://atom.kaeri.re.kr/cgi-bin/nuclide?nuc=",B142,"-",C142," &lt;sub&gt;",C142,"&lt;/sub&gt;",B142,"]")</f>
        <v>[http://atom.kaeri.re.kr/cgi-bin/nuclide?nuc=Zn-70 &lt;sub&gt;70&lt;/sub&gt;Zn]</v>
      </c>
      <c r="H142" t="str">
        <f>CONCATENATE(D142," % || ",E142)</f>
        <v>0,62 % || stabil</v>
      </c>
      <c r="I142" t="str">
        <f>CONCATENATE(" | ",G142," || ",H142," || ",F142)</f>
        <v xml:space="preserve"> | [http://atom.kaeri.re.kr/cgi-bin/nuclide?nuc=Zn-70 &lt;sub&gt;70&lt;/sub&gt;Zn] || 0,62 % || stabil || </v>
      </c>
      <c r="N142" t="str">
        <f>CONCATENATE(I142,"&lt;br&gt;"," |-")</f>
        <v xml:space="preserve"> | [http://atom.kaeri.re.kr/cgi-bin/nuclide?nuc=Zn-70 &lt;sub&gt;70&lt;/sub&gt;Zn] || 0,62 % || stabil || &lt;br&gt; |-</v>
      </c>
    </row>
    <row r="143" spans="1:14" ht="15.9" customHeight="1">
      <c r="A143">
        <v>30</v>
      </c>
      <c r="B143" s="83" t="s">
        <v>49</v>
      </c>
      <c r="C143">
        <v>999</v>
      </c>
      <c r="D143" t="s">
        <v>50</v>
      </c>
      <c r="E143" t="s">
        <v>1175</v>
      </c>
      <c r="N143" t="str">
        <f>CONCATENATE(" |}&lt;br&gt;* [http://atom.kaeri.re.kr/cgi-bin/nuclide?nuc=",B143," alle bekannten ",D143,"-Isotope]")</f>
        <v xml:space="preserve"> |}&lt;br&gt;* [http://atom.kaeri.re.kr/cgi-bin/nuclide?nuc=Zn alle bekannten Zink-Isotope]</v>
      </c>
    </row>
    <row r="144" spans="1:14" ht="15.9" customHeight="1">
      <c r="A144">
        <v>31</v>
      </c>
      <c r="B144" s="83" t="s">
        <v>53</v>
      </c>
      <c r="C144" s="73">
        <v>0</v>
      </c>
      <c r="D144" t="s">
        <v>54</v>
      </c>
      <c r="E144" t="s">
        <v>1175</v>
      </c>
      <c r="N144" t="str">
        <f>CONCATENATE("=== [[",D144,"]] ===&lt;br&gt;{| {{tabelle}}&lt;br&gt;! Isotop !! ",$D$1," !! [[",$E$1,"]] !! ",$F$1," &lt;br&gt; |-")</f>
        <v>=== [[Gallium]] ===&lt;br&gt;{| {{tabelle}}&lt;br&gt;! Isotop !! natürliche Häufigkeit !! [[Halbwertszeit]] !! Herkunft, techn. Bedeutung &lt;br&gt; |-</v>
      </c>
    </row>
    <row r="145" spans="1:14" ht="15.9" customHeight="1">
      <c r="A145" s="73">
        <v>31</v>
      </c>
      <c r="B145" s="81" t="s">
        <v>53</v>
      </c>
      <c r="C145" s="73">
        <v>69</v>
      </c>
      <c r="D145" s="73">
        <v>60.107999999999997</v>
      </c>
      <c r="E145" t="s">
        <v>1175</v>
      </c>
      <c r="G145" t="str">
        <f>CONCATENATE("[","http://atom.kaeri.re.kr/cgi-bin/nuclide?nuc=",B145,"-",C145," &lt;sub&gt;",C145,"&lt;/sub&gt;",B145,"]")</f>
        <v>[http://atom.kaeri.re.kr/cgi-bin/nuclide?nuc=Ga-69 &lt;sub&gt;69&lt;/sub&gt;Ga]</v>
      </c>
      <c r="H145" t="str">
        <f>CONCATENATE(D145," % || ",E145)</f>
        <v>60,108 % || stabil</v>
      </c>
      <c r="I145" t="str">
        <f>CONCATENATE(" | ",G145," || ",H145," || ",F145)</f>
        <v xml:space="preserve"> | [http://atom.kaeri.re.kr/cgi-bin/nuclide?nuc=Ga-69 &lt;sub&gt;69&lt;/sub&gt;Ga] || 60,108 % || stabil || </v>
      </c>
      <c r="N145" t="str">
        <f>CONCATENATE(I145,"&lt;br&gt;"," |-")</f>
        <v xml:space="preserve"> | [http://atom.kaeri.re.kr/cgi-bin/nuclide?nuc=Ga-69 &lt;sub&gt;69&lt;/sub&gt;Ga] || 60,108 % || stabil || &lt;br&gt; |-</v>
      </c>
    </row>
    <row r="146" spans="1:14" ht="15.9" customHeight="1">
      <c r="A146" s="73">
        <v>31</v>
      </c>
      <c r="B146" s="81" t="s">
        <v>53</v>
      </c>
      <c r="C146" s="73">
        <v>71</v>
      </c>
      <c r="D146" s="73">
        <v>39.892000000000003</v>
      </c>
      <c r="E146" t="s">
        <v>1175</v>
      </c>
      <c r="G146" t="str">
        <f>CONCATENATE("[","http://atom.kaeri.re.kr/cgi-bin/nuclide?nuc=",B146,"-",C146," &lt;sub&gt;",C146,"&lt;/sub&gt;",B146,"]")</f>
        <v>[http://atom.kaeri.re.kr/cgi-bin/nuclide?nuc=Ga-71 &lt;sub&gt;71&lt;/sub&gt;Ga]</v>
      </c>
      <c r="H146" t="str">
        <f>CONCATENATE(D146," % || ",E146)</f>
        <v>39,892 % || stabil</v>
      </c>
      <c r="I146" t="str">
        <f>CONCATENATE(" | ",G146," || ",H146," || ",F146)</f>
        <v xml:space="preserve"> | [http://atom.kaeri.re.kr/cgi-bin/nuclide?nuc=Ga-71 &lt;sub&gt;71&lt;/sub&gt;Ga] || 39,892 % || stabil || </v>
      </c>
      <c r="N146" t="str">
        <f>CONCATENATE(I146,"&lt;br&gt;"," |-")</f>
        <v xml:space="preserve"> | [http://atom.kaeri.re.kr/cgi-bin/nuclide?nuc=Ga-71 &lt;sub&gt;71&lt;/sub&gt;Ga] || 39,892 % || stabil || &lt;br&gt; |-</v>
      </c>
    </row>
    <row r="147" spans="1:14" ht="15.9" customHeight="1">
      <c r="A147">
        <v>31</v>
      </c>
      <c r="B147" s="83" t="s">
        <v>53</v>
      </c>
      <c r="C147">
        <v>999</v>
      </c>
      <c r="D147" t="s">
        <v>54</v>
      </c>
      <c r="E147" t="s">
        <v>1175</v>
      </c>
      <c r="N147" t="str">
        <f>CONCATENATE(" |}&lt;br&gt;* [http://atom.kaeri.re.kr/cgi-bin/nuclide?nuc=",B147," alle bekannten ",D147,"-Isotope]")</f>
        <v xml:space="preserve"> |}&lt;br&gt;* [http://atom.kaeri.re.kr/cgi-bin/nuclide?nuc=Ga alle bekannten Gallium-Isotope]</v>
      </c>
    </row>
    <row r="148" spans="1:14" ht="15.9" customHeight="1">
      <c r="A148">
        <v>32</v>
      </c>
      <c r="B148" s="83" t="s">
        <v>55</v>
      </c>
      <c r="C148" s="73">
        <v>0</v>
      </c>
      <c r="D148" t="s">
        <v>56</v>
      </c>
      <c r="E148" t="s">
        <v>1175</v>
      </c>
      <c r="N148" t="str">
        <f>CONCATENATE("=== [[",D148,"]] ===&lt;br&gt;{| {{tabelle}}&lt;br&gt;! Isotop !! ",$D$1," !! [[",$E$1,"]] !! ",$F$1," &lt;br&gt; |-")</f>
        <v>=== [[Germanium]] ===&lt;br&gt;{| {{tabelle}}&lt;br&gt;! Isotop !! natürliche Häufigkeit !! [[Halbwertszeit]] !! Herkunft, techn. Bedeutung &lt;br&gt; |-</v>
      </c>
    </row>
    <row r="149" spans="1:14" ht="15.9" customHeight="1">
      <c r="A149" s="73">
        <v>32</v>
      </c>
      <c r="B149" s="81" t="s">
        <v>55</v>
      </c>
      <c r="C149" s="73">
        <v>70</v>
      </c>
      <c r="D149" s="73">
        <v>20.84</v>
      </c>
      <c r="E149" t="s">
        <v>1175</v>
      </c>
      <c r="G149" t="str">
        <f>CONCATENATE("[","http://atom.kaeri.re.kr/cgi-bin/nuclide?nuc=",B149,"-",C149," &lt;sub&gt;",C149,"&lt;/sub&gt;",B149,"]")</f>
        <v>[http://atom.kaeri.re.kr/cgi-bin/nuclide?nuc=Ge-70 &lt;sub&gt;70&lt;/sub&gt;Ge]</v>
      </c>
      <c r="H149" t="str">
        <f>CONCATENATE(D149," % || ",E149)</f>
        <v>20,84 % || stabil</v>
      </c>
      <c r="I149" t="str">
        <f>CONCATENATE(" | ",G149," || ",H149," || ",F149)</f>
        <v xml:space="preserve"> | [http://atom.kaeri.re.kr/cgi-bin/nuclide?nuc=Ge-70 &lt;sub&gt;70&lt;/sub&gt;Ge] || 20,84 % || stabil || </v>
      </c>
      <c r="N149" t="str">
        <f>CONCATENATE(I149,"&lt;br&gt;"," |-")</f>
        <v xml:space="preserve"> | [http://atom.kaeri.re.kr/cgi-bin/nuclide?nuc=Ge-70 &lt;sub&gt;70&lt;/sub&gt;Ge] || 20,84 % || stabil || &lt;br&gt; |-</v>
      </c>
    </row>
    <row r="150" spans="1:14" ht="15.9" customHeight="1">
      <c r="A150" s="73">
        <v>32</v>
      </c>
      <c r="B150" s="81" t="s">
        <v>55</v>
      </c>
      <c r="C150" s="73">
        <v>72</v>
      </c>
      <c r="D150" s="73">
        <v>27.54</v>
      </c>
      <c r="E150" t="s">
        <v>1175</v>
      </c>
      <c r="G150" t="str">
        <f>CONCATENATE("[","http://atom.kaeri.re.kr/cgi-bin/nuclide?nuc=",B150,"-",C150," &lt;sub&gt;",C150,"&lt;/sub&gt;",B150,"]")</f>
        <v>[http://atom.kaeri.re.kr/cgi-bin/nuclide?nuc=Ge-72 &lt;sub&gt;72&lt;/sub&gt;Ge]</v>
      </c>
      <c r="H150" t="str">
        <f>CONCATENATE(D150," % || ",E150)</f>
        <v>27,54 % || stabil</v>
      </c>
      <c r="I150" t="str">
        <f>CONCATENATE(" | ",G150," || ",H150," || ",F150)</f>
        <v xml:space="preserve"> | [http://atom.kaeri.re.kr/cgi-bin/nuclide?nuc=Ge-72 &lt;sub&gt;72&lt;/sub&gt;Ge] || 27,54 % || stabil || </v>
      </c>
      <c r="N150" t="str">
        <f>CONCATENATE(I150,"&lt;br&gt;"," |-")</f>
        <v xml:space="preserve"> | [http://atom.kaeri.re.kr/cgi-bin/nuclide?nuc=Ge-72 &lt;sub&gt;72&lt;/sub&gt;Ge] || 27,54 % || stabil || &lt;br&gt; |-</v>
      </c>
    </row>
    <row r="151" spans="1:14" ht="15.9" customHeight="1">
      <c r="A151" s="73">
        <v>32</v>
      </c>
      <c r="B151" s="81" t="s">
        <v>55</v>
      </c>
      <c r="C151" s="73">
        <v>73</v>
      </c>
      <c r="D151" s="73">
        <v>7.73</v>
      </c>
      <c r="E151" t="s">
        <v>1175</v>
      </c>
      <c r="G151" t="str">
        <f>CONCATENATE("[","http://atom.kaeri.re.kr/cgi-bin/nuclide?nuc=",B151,"-",C151," &lt;sub&gt;",C151,"&lt;/sub&gt;",B151,"]")</f>
        <v>[http://atom.kaeri.re.kr/cgi-bin/nuclide?nuc=Ge-73 &lt;sub&gt;73&lt;/sub&gt;Ge]</v>
      </c>
      <c r="H151" t="str">
        <f>CONCATENATE(D151," % || ",E151)</f>
        <v>7,73 % || stabil</v>
      </c>
      <c r="I151" t="str">
        <f>CONCATENATE(" | ",G151," || ",H151," || ",F151)</f>
        <v xml:space="preserve"> | [http://atom.kaeri.re.kr/cgi-bin/nuclide?nuc=Ge-73 &lt;sub&gt;73&lt;/sub&gt;Ge] || 7,73 % || stabil || </v>
      </c>
      <c r="N151" t="str">
        <f>CONCATENATE(I151,"&lt;br&gt;"," |-")</f>
        <v xml:space="preserve"> | [http://atom.kaeri.re.kr/cgi-bin/nuclide?nuc=Ge-73 &lt;sub&gt;73&lt;/sub&gt;Ge] || 7,73 % || stabil || &lt;br&gt; |-</v>
      </c>
    </row>
    <row r="152" spans="1:14" ht="15.9" customHeight="1">
      <c r="A152" s="73">
        <v>32</v>
      </c>
      <c r="B152" s="81" t="s">
        <v>55</v>
      </c>
      <c r="C152" s="73">
        <v>74</v>
      </c>
      <c r="D152" s="73">
        <v>36.28</v>
      </c>
      <c r="E152" t="s">
        <v>1175</v>
      </c>
      <c r="G152" t="str">
        <f>CONCATENATE("[","http://atom.kaeri.re.kr/cgi-bin/nuclide?nuc=",B152,"-",C152," &lt;sub&gt;",C152,"&lt;/sub&gt;",B152,"]")</f>
        <v>[http://atom.kaeri.re.kr/cgi-bin/nuclide?nuc=Ge-74 &lt;sub&gt;74&lt;/sub&gt;Ge]</v>
      </c>
      <c r="H152" t="str">
        <f>CONCATENATE(D152," % || ",E152)</f>
        <v>36,28 % || stabil</v>
      </c>
      <c r="I152" t="str">
        <f>CONCATENATE(" | ",G152," || ",H152," || ",F152)</f>
        <v xml:space="preserve"> | [http://atom.kaeri.re.kr/cgi-bin/nuclide?nuc=Ge-74 &lt;sub&gt;74&lt;/sub&gt;Ge] || 36,28 % || stabil || </v>
      </c>
      <c r="N152" t="str">
        <f>CONCATENATE(I152,"&lt;br&gt;"," |-")</f>
        <v xml:space="preserve"> | [http://atom.kaeri.re.kr/cgi-bin/nuclide?nuc=Ge-74 &lt;sub&gt;74&lt;/sub&gt;Ge] || 36,28 % || stabil || &lt;br&gt; |-</v>
      </c>
    </row>
    <row r="153" spans="1:14" ht="15.9" customHeight="1">
      <c r="A153" s="73">
        <v>32</v>
      </c>
      <c r="B153" s="81" t="s">
        <v>55</v>
      </c>
      <c r="C153" s="73">
        <v>76</v>
      </c>
      <c r="D153" s="73">
        <v>7.61</v>
      </c>
      <c r="E153" t="s">
        <v>1175</v>
      </c>
      <c r="G153" t="str">
        <f>CONCATENATE("[","http://atom.kaeri.re.kr/cgi-bin/nuclide?nuc=",B153,"-",C153," &lt;sub&gt;",C153,"&lt;/sub&gt;",B153,"]")</f>
        <v>[http://atom.kaeri.re.kr/cgi-bin/nuclide?nuc=Ge-76 &lt;sub&gt;76&lt;/sub&gt;Ge]</v>
      </c>
      <c r="H153" t="str">
        <f>CONCATENATE(D153," % || ",E153)</f>
        <v>7,61 % || stabil</v>
      </c>
      <c r="I153" t="str">
        <f>CONCATENATE(" | ",G153," || ",H153," || ",F153)</f>
        <v xml:space="preserve"> | [http://atom.kaeri.re.kr/cgi-bin/nuclide?nuc=Ge-76 &lt;sub&gt;76&lt;/sub&gt;Ge] || 7,61 % || stabil || </v>
      </c>
      <c r="N153" t="str">
        <f>CONCATENATE(I153,"&lt;br&gt;"," |-")</f>
        <v xml:space="preserve"> | [http://atom.kaeri.re.kr/cgi-bin/nuclide?nuc=Ge-76 &lt;sub&gt;76&lt;/sub&gt;Ge] || 7,61 % || stabil || &lt;br&gt; |-</v>
      </c>
    </row>
    <row r="154" spans="1:14" ht="15.9" customHeight="1">
      <c r="A154">
        <v>32</v>
      </c>
      <c r="B154" s="83" t="s">
        <v>55</v>
      </c>
      <c r="C154">
        <v>999</v>
      </c>
      <c r="D154" t="s">
        <v>56</v>
      </c>
      <c r="E154" t="s">
        <v>1175</v>
      </c>
      <c r="N154" t="str">
        <f>CONCATENATE(" |}&lt;br&gt;* [http://atom.kaeri.re.kr/cgi-bin/nuclide?nuc=",B154," alle bekannten ",D154,"-Isotope]")</f>
        <v xml:space="preserve"> |}&lt;br&gt;* [http://atom.kaeri.re.kr/cgi-bin/nuclide?nuc=Ge alle bekannten Germanium-Isotope]</v>
      </c>
    </row>
    <row r="155" spans="1:14" ht="15.9" customHeight="1">
      <c r="A155">
        <v>33</v>
      </c>
      <c r="B155" s="83" t="s">
        <v>58</v>
      </c>
      <c r="C155" s="73">
        <v>0</v>
      </c>
      <c r="D155" t="s">
        <v>59</v>
      </c>
      <c r="E155" t="s">
        <v>1175</v>
      </c>
      <c r="N155" t="str">
        <f>CONCATENATE("=== [[",D155,"]] ===&lt;br&gt;{| {{tabelle}}&lt;br&gt;! Isotop !! ",$D$1," !! [[",$E$1,"]] !! ",$F$1," &lt;br&gt; |-")</f>
        <v>=== [[Arsen]] ===&lt;br&gt;{| {{tabelle}}&lt;br&gt;! Isotop !! natürliche Häufigkeit !! [[Halbwertszeit]] !! Herkunft, techn. Bedeutung &lt;br&gt; |-</v>
      </c>
    </row>
    <row r="156" spans="1:14" ht="15.9" customHeight="1">
      <c r="A156" s="73">
        <v>33</v>
      </c>
      <c r="B156" s="81" t="s">
        <v>58</v>
      </c>
      <c r="C156" s="73">
        <v>75</v>
      </c>
      <c r="D156" s="73">
        <v>100</v>
      </c>
      <c r="E156" t="s">
        <v>1175</v>
      </c>
      <c r="G156" t="str">
        <f>CONCATENATE("[","http://atom.kaeri.re.kr/cgi-bin/nuclide?nuc=",B156,"-",C156," &lt;sub&gt;",C156,"&lt;/sub&gt;",B156,"]")</f>
        <v>[http://atom.kaeri.re.kr/cgi-bin/nuclide?nuc=As-75 &lt;sub&gt;75&lt;/sub&gt;As]</v>
      </c>
      <c r="H156" t="str">
        <f>CONCATENATE(D156," % || ",E156)</f>
        <v>100 % || stabil</v>
      </c>
      <c r="I156" t="str">
        <f>CONCATENATE(" | ",G156," || ",H156," || ",F156)</f>
        <v xml:space="preserve"> | [http://atom.kaeri.re.kr/cgi-bin/nuclide?nuc=As-75 &lt;sub&gt;75&lt;/sub&gt;As] || 100 % || stabil || </v>
      </c>
      <c r="N156" t="str">
        <f>CONCATENATE(I156,"&lt;br&gt;"," |-")</f>
        <v xml:space="preserve"> | [http://atom.kaeri.re.kr/cgi-bin/nuclide?nuc=As-75 &lt;sub&gt;75&lt;/sub&gt;As] || 100 % || stabil || &lt;br&gt; |-</v>
      </c>
    </row>
    <row r="157" spans="1:14" ht="15.9" customHeight="1">
      <c r="A157">
        <v>33</v>
      </c>
      <c r="B157" s="83" t="s">
        <v>58</v>
      </c>
      <c r="C157">
        <v>999</v>
      </c>
      <c r="D157" t="s">
        <v>59</v>
      </c>
      <c r="E157" t="s">
        <v>1175</v>
      </c>
      <c r="N157" t="str">
        <f>CONCATENATE(" |}&lt;br&gt;* [http://atom.kaeri.re.kr/cgi-bin/nuclide?nuc=",B157," alle bekannten ",D157,"-Isotope]")</f>
        <v xml:space="preserve"> |}&lt;br&gt;* [http://atom.kaeri.re.kr/cgi-bin/nuclide?nuc=As alle bekannten Arsen-Isotope]</v>
      </c>
    </row>
    <row r="158" spans="1:14" ht="15.9" customHeight="1">
      <c r="A158">
        <v>34</v>
      </c>
      <c r="B158" s="83" t="s">
        <v>61</v>
      </c>
      <c r="C158" s="73">
        <v>0</v>
      </c>
      <c r="D158" t="s">
        <v>62</v>
      </c>
      <c r="E158" t="s">
        <v>1175</v>
      </c>
      <c r="N158" t="str">
        <f>CONCATENATE("=== [[",D158,"]] ===&lt;br&gt;{| {{tabelle}}&lt;br&gt;! Isotop !! ",$D$1," !! [[",$E$1,"]] !! ",$F$1," &lt;br&gt; |-")</f>
        <v>=== [[Selen]] ===&lt;br&gt;{| {{tabelle}}&lt;br&gt;! Isotop !! natürliche Häufigkeit !! [[Halbwertszeit]] !! Herkunft, techn. Bedeutung &lt;br&gt; |-</v>
      </c>
    </row>
    <row r="159" spans="1:14" ht="15.9" customHeight="1">
      <c r="A159" s="73">
        <v>34</v>
      </c>
      <c r="B159" s="81" t="s">
        <v>61</v>
      </c>
      <c r="C159" s="73">
        <v>74</v>
      </c>
      <c r="D159" s="73">
        <v>0.89</v>
      </c>
      <c r="E159" t="s">
        <v>1175</v>
      </c>
      <c r="G159" t="str">
        <f t="shared" ref="G159:G164" si="4">CONCATENATE("[","http://atom.kaeri.re.kr/cgi-bin/nuclide?nuc=",B159,"-",C159," &lt;sub&gt;",C159,"&lt;/sub&gt;",B159,"]")</f>
        <v>[http://atom.kaeri.re.kr/cgi-bin/nuclide?nuc=Se-74 &lt;sub&gt;74&lt;/sub&gt;Se]</v>
      </c>
      <c r="H159" t="str">
        <f t="shared" ref="H159:H164" si="5">CONCATENATE(D159," % || ",E159)</f>
        <v>0,89 % || stabil</v>
      </c>
      <c r="I159" t="str">
        <f t="shared" ref="I159:I164" si="6">CONCATENATE(" | ",G159," || ",H159," || ",F159)</f>
        <v xml:space="preserve"> | [http://atom.kaeri.re.kr/cgi-bin/nuclide?nuc=Se-74 &lt;sub&gt;74&lt;/sub&gt;Se] || 0,89 % || stabil || </v>
      </c>
      <c r="N159" t="str">
        <f t="shared" ref="N159:N164" si="7">CONCATENATE(I159,"&lt;br&gt;"," |-")</f>
        <v xml:space="preserve"> | [http://atom.kaeri.re.kr/cgi-bin/nuclide?nuc=Se-74 &lt;sub&gt;74&lt;/sub&gt;Se] || 0,89 % || stabil || &lt;br&gt; |-</v>
      </c>
    </row>
    <row r="160" spans="1:14" ht="15.9" customHeight="1">
      <c r="A160" s="73">
        <v>34</v>
      </c>
      <c r="B160" s="81" t="s">
        <v>61</v>
      </c>
      <c r="C160" s="73">
        <v>76</v>
      </c>
      <c r="D160" s="73">
        <v>9.3699999999999992</v>
      </c>
      <c r="E160" t="s">
        <v>1175</v>
      </c>
      <c r="G160" t="str">
        <f t="shared" si="4"/>
        <v>[http://atom.kaeri.re.kr/cgi-bin/nuclide?nuc=Se-76 &lt;sub&gt;76&lt;/sub&gt;Se]</v>
      </c>
      <c r="H160" t="str">
        <f t="shared" si="5"/>
        <v>9,37 % || stabil</v>
      </c>
      <c r="I160" t="str">
        <f t="shared" si="6"/>
        <v xml:space="preserve"> | [http://atom.kaeri.re.kr/cgi-bin/nuclide?nuc=Se-76 &lt;sub&gt;76&lt;/sub&gt;Se] || 9,37 % || stabil || </v>
      </c>
      <c r="N160" t="str">
        <f t="shared" si="7"/>
        <v xml:space="preserve"> | [http://atom.kaeri.re.kr/cgi-bin/nuclide?nuc=Se-76 &lt;sub&gt;76&lt;/sub&gt;Se] || 9,37 % || stabil || &lt;br&gt; |-</v>
      </c>
    </row>
    <row r="161" spans="1:14" ht="15.9" customHeight="1">
      <c r="A161" s="73">
        <v>34</v>
      </c>
      <c r="B161" s="81" t="s">
        <v>61</v>
      </c>
      <c r="C161" s="73">
        <v>77</v>
      </c>
      <c r="D161" s="73">
        <v>7.63</v>
      </c>
      <c r="E161" t="s">
        <v>1175</v>
      </c>
      <c r="G161" t="str">
        <f t="shared" si="4"/>
        <v>[http://atom.kaeri.re.kr/cgi-bin/nuclide?nuc=Se-77 &lt;sub&gt;77&lt;/sub&gt;Se]</v>
      </c>
      <c r="H161" t="str">
        <f t="shared" si="5"/>
        <v>7,63 % || stabil</v>
      </c>
      <c r="I161" t="str">
        <f t="shared" si="6"/>
        <v xml:space="preserve"> | [http://atom.kaeri.re.kr/cgi-bin/nuclide?nuc=Se-77 &lt;sub&gt;77&lt;/sub&gt;Se] || 7,63 % || stabil || </v>
      </c>
      <c r="N161" t="str">
        <f t="shared" si="7"/>
        <v xml:space="preserve"> | [http://atom.kaeri.re.kr/cgi-bin/nuclide?nuc=Se-77 &lt;sub&gt;77&lt;/sub&gt;Se] || 7,63 % || stabil || &lt;br&gt; |-</v>
      </c>
    </row>
    <row r="162" spans="1:14" ht="15.9" customHeight="1">
      <c r="A162" s="73">
        <v>34</v>
      </c>
      <c r="B162" s="81" t="s">
        <v>61</v>
      </c>
      <c r="C162" s="73">
        <v>78</v>
      </c>
      <c r="D162" s="73">
        <v>23.77</v>
      </c>
      <c r="E162" t="s">
        <v>1175</v>
      </c>
      <c r="G162" t="str">
        <f t="shared" si="4"/>
        <v>[http://atom.kaeri.re.kr/cgi-bin/nuclide?nuc=Se-78 &lt;sub&gt;78&lt;/sub&gt;Se]</v>
      </c>
      <c r="H162" t="str">
        <f t="shared" si="5"/>
        <v>23,77 % || stabil</v>
      </c>
      <c r="I162" t="str">
        <f t="shared" si="6"/>
        <v xml:space="preserve"> | [http://atom.kaeri.re.kr/cgi-bin/nuclide?nuc=Se-78 &lt;sub&gt;78&lt;/sub&gt;Se] || 23,77 % || stabil || </v>
      </c>
      <c r="N162" t="str">
        <f t="shared" si="7"/>
        <v xml:space="preserve"> | [http://atom.kaeri.re.kr/cgi-bin/nuclide?nuc=Se-78 &lt;sub&gt;78&lt;/sub&gt;Se] || 23,77 % || stabil || &lt;br&gt; |-</v>
      </c>
    </row>
    <row r="163" spans="1:14" ht="15.9" customHeight="1">
      <c r="A163" s="73">
        <v>34</v>
      </c>
      <c r="B163" s="81" t="s">
        <v>61</v>
      </c>
      <c r="C163" s="73">
        <v>80</v>
      </c>
      <c r="D163" s="73">
        <v>49.61</v>
      </c>
      <c r="E163" t="s">
        <v>1175</v>
      </c>
      <c r="G163" t="str">
        <f t="shared" si="4"/>
        <v>[http://atom.kaeri.re.kr/cgi-bin/nuclide?nuc=Se-80 &lt;sub&gt;80&lt;/sub&gt;Se]</v>
      </c>
      <c r="H163" t="str">
        <f t="shared" si="5"/>
        <v>49,61 % || stabil</v>
      </c>
      <c r="I163" t="str">
        <f t="shared" si="6"/>
        <v xml:space="preserve"> | [http://atom.kaeri.re.kr/cgi-bin/nuclide?nuc=Se-80 &lt;sub&gt;80&lt;/sub&gt;Se] || 49,61 % || stabil || </v>
      </c>
      <c r="N163" t="str">
        <f t="shared" si="7"/>
        <v xml:space="preserve"> | [http://atom.kaeri.re.kr/cgi-bin/nuclide?nuc=Se-80 &lt;sub&gt;80&lt;/sub&gt;Se] || 49,61 % || stabil || &lt;br&gt; |-</v>
      </c>
    </row>
    <row r="164" spans="1:14" ht="15.9" customHeight="1">
      <c r="A164" s="73">
        <v>34</v>
      </c>
      <c r="B164" s="81" t="s">
        <v>61</v>
      </c>
      <c r="C164" s="73">
        <v>82</v>
      </c>
      <c r="D164" s="73">
        <v>8.73</v>
      </c>
      <c r="E164" t="s">
        <v>1175</v>
      </c>
      <c r="G164" t="str">
        <f t="shared" si="4"/>
        <v>[http://atom.kaeri.re.kr/cgi-bin/nuclide?nuc=Se-82 &lt;sub&gt;82&lt;/sub&gt;Se]</v>
      </c>
      <c r="H164" t="str">
        <f t="shared" si="5"/>
        <v>8,73 % || stabil</v>
      </c>
      <c r="I164" t="str">
        <f t="shared" si="6"/>
        <v xml:space="preserve"> | [http://atom.kaeri.re.kr/cgi-bin/nuclide?nuc=Se-82 &lt;sub&gt;82&lt;/sub&gt;Se] || 8,73 % || stabil || </v>
      </c>
      <c r="N164" t="str">
        <f t="shared" si="7"/>
        <v xml:space="preserve"> | [http://atom.kaeri.re.kr/cgi-bin/nuclide?nuc=Se-82 &lt;sub&gt;82&lt;/sub&gt;Se] || 8,73 % || stabil || &lt;br&gt; |-</v>
      </c>
    </row>
    <row r="165" spans="1:14" ht="15.9" customHeight="1">
      <c r="A165">
        <v>34</v>
      </c>
      <c r="B165" s="83" t="s">
        <v>61</v>
      </c>
      <c r="C165">
        <v>999</v>
      </c>
      <c r="D165" t="s">
        <v>62</v>
      </c>
      <c r="E165" t="s">
        <v>1175</v>
      </c>
      <c r="N165" t="str">
        <f>CONCATENATE(" |}&lt;br&gt;* [http://atom.kaeri.re.kr/cgi-bin/nuclide?nuc=",B165," alle bekannten ",D165,"-Isotope]")</f>
        <v xml:space="preserve"> |}&lt;br&gt;* [http://atom.kaeri.re.kr/cgi-bin/nuclide?nuc=Se alle bekannten Selen-Isotope]</v>
      </c>
    </row>
    <row r="166" spans="1:14" ht="15.9" customHeight="1">
      <c r="A166">
        <v>35</v>
      </c>
      <c r="B166" s="83" t="s">
        <v>64</v>
      </c>
      <c r="C166" s="73">
        <v>0</v>
      </c>
      <c r="D166" t="s">
        <v>65</v>
      </c>
      <c r="E166" t="s">
        <v>1175</v>
      </c>
      <c r="N166" t="str">
        <f>CONCATENATE("=== [[",D166,"]] ===&lt;br&gt;{| {{tabelle}}&lt;br&gt;! Isotop !! ",$D$1," !! [[",$E$1,"]] !! ",$F$1," &lt;br&gt; |-")</f>
        <v>=== [[Brom]] ===&lt;br&gt;{| {{tabelle}}&lt;br&gt;! Isotop !! natürliche Häufigkeit !! [[Halbwertszeit]] !! Herkunft, techn. Bedeutung &lt;br&gt; |-</v>
      </c>
    </row>
    <row r="167" spans="1:14" ht="15.9" customHeight="1">
      <c r="A167" s="73">
        <v>35</v>
      </c>
      <c r="B167" s="81" t="s">
        <v>64</v>
      </c>
      <c r="C167" s="73">
        <v>79</v>
      </c>
      <c r="D167" s="73">
        <v>50.69</v>
      </c>
      <c r="E167" t="s">
        <v>1175</v>
      </c>
      <c r="G167" t="str">
        <f>CONCATENATE("[","http://atom.kaeri.re.kr/cgi-bin/nuclide?nuc=",B167,"-",C167," &lt;sub&gt;",C167,"&lt;/sub&gt;",B167,"]")</f>
        <v>[http://atom.kaeri.re.kr/cgi-bin/nuclide?nuc=Br-79 &lt;sub&gt;79&lt;/sub&gt;Br]</v>
      </c>
      <c r="H167" t="str">
        <f>CONCATENATE(D167," % || ",E167)</f>
        <v>50,69 % || stabil</v>
      </c>
      <c r="I167" t="str">
        <f>CONCATENATE(" | ",G167," || ",H167," || ",F167)</f>
        <v xml:space="preserve"> | [http://atom.kaeri.re.kr/cgi-bin/nuclide?nuc=Br-79 &lt;sub&gt;79&lt;/sub&gt;Br] || 50,69 % || stabil || </v>
      </c>
      <c r="N167" t="str">
        <f>CONCATENATE(I167,"&lt;br&gt;"," |-")</f>
        <v xml:space="preserve"> | [http://atom.kaeri.re.kr/cgi-bin/nuclide?nuc=Br-79 &lt;sub&gt;79&lt;/sub&gt;Br] || 50,69 % || stabil || &lt;br&gt; |-</v>
      </c>
    </row>
    <row r="168" spans="1:14" ht="15.9" customHeight="1">
      <c r="A168" s="73">
        <v>35</v>
      </c>
      <c r="B168" s="81" t="s">
        <v>64</v>
      </c>
      <c r="C168" s="73">
        <v>81</v>
      </c>
      <c r="D168" s="73">
        <v>49.31</v>
      </c>
      <c r="E168" t="s">
        <v>1175</v>
      </c>
      <c r="G168" t="str">
        <f>CONCATENATE("[","http://atom.kaeri.re.kr/cgi-bin/nuclide?nuc=",B168,"-",C168," &lt;sub&gt;",C168,"&lt;/sub&gt;",B168,"]")</f>
        <v>[http://atom.kaeri.re.kr/cgi-bin/nuclide?nuc=Br-81 &lt;sub&gt;81&lt;/sub&gt;Br]</v>
      </c>
      <c r="H168" t="str">
        <f>CONCATENATE(D168," % || ",E168)</f>
        <v>49,31 % || stabil</v>
      </c>
      <c r="I168" t="str">
        <f>CONCATENATE(" | ",G168," || ",H168," || ",F168)</f>
        <v xml:space="preserve"> | [http://atom.kaeri.re.kr/cgi-bin/nuclide?nuc=Br-81 &lt;sub&gt;81&lt;/sub&gt;Br] || 49,31 % || stabil || </v>
      </c>
      <c r="N168" t="str">
        <f>CONCATENATE(I168,"&lt;br&gt;"," |-")</f>
        <v xml:space="preserve"> | [http://atom.kaeri.re.kr/cgi-bin/nuclide?nuc=Br-81 &lt;sub&gt;81&lt;/sub&gt;Br] || 49,31 % || stabil || &lt;br&gt; |-</v>
      </c>
    </row>
    <row r="169" spans="1:14" ht="15.9" customHeight="1">
      <c r="A169">
        <v>35</v>
      </c>
      <c r="B169" s="83" t="s">
        <v>64</v>
      </c>
      <c r="C169">
        <v>999</v>
      </c>
      <c r="D169" t="s">
        <v>65</v>
      </c>
      <c r="E169" t="s">
        <v>1175</v>
      </c>
      <c r="N169" t="str">
        <f>CONCATENATE(" |}&lt;br&gt;* [http://atom.kaeri.re.kr/cgi-bin/nuclide?nuc=",B169," alle bekannten ",D169,"-Isotope]")</f>
        <v xml:space="preserve"> |}&lt;br&gt;* [http://atom.kaeri.re.kr/cgi-bin/nuclide?nuc=Br alle bekannten Brom-Isotope]</v>
      </c>
    </row>
    <row r="170" spans="1:14" ht="15.9" customHeight="1">
      <c r="A170">
        <v>36</v>
      </c>
      <c r="B170" s="83" t="s">
        <v>67</v>
      </c>
      <c r="C170" s="73">
        <v>0</v>
      </c>
      <c r="D170" t="s">
        <v>68</v>
      </c>
      <c r="E170" t="s">
        <v>1175</v>
      </c>
      <c r="N170" t="str">
        <f>CONCATENATE("=== [[",D170,"]] ===&lt;br&gt;{| {{tabelle}}&lt;br&gt;! Isotop !! ",$D$1," !! [[",$E$1,"]] !! ",$F$1," &lt;br&gt; |-")</f>
        <v>=== [[Krypton]] ===&lt;br&gt;{| {{tabelle}}&lt;br&gt;! Isotop !! natürliche Häufigkeit !! [[Halbwertszeit]] !! Herkunft, techn. Bedeutung &lt;br&gt; |-</v>
      </c>
    </row>
    <row r="171" spans="1:14" ht="15.9" customHeight="1">
      <c r="A171" s="73">
        <v>36</v>
      </c>
      <c r="B171" s="81" t="s">
        <v>67</v>
      </c>
      <c r="C171" s="73">
        <v>78</v>
      </c>
      <c r="D171" s="73">
        <v>0.35</v>
      </c>
      <c r="E171" t="s">
        <v>1175</v>
      </c>
      <c r="G171" t="str">
        <f t="shared" ref="G171:G176" si="8">CONCATENATE("[","http://atom.kaeri.re.kr/cgi-bin/nuclide?nuc=",B171,"-",C171," &lt;sub&gt;",C171,"&lt;/sub&gt;",B171,"]")</f>
        <v>[http://atom.kaeri.re.kr/cgi-bin/nuclide?nuc=Kr-78 &lt;sub&gt;78&lt;/sub&gt;Kr]</v>
      </c>
      <c r="H171" t="str">
        <f t="shared" ref="H171:H176" si="9">CONCATENATE(D171," % || ",E171)</f>
        <v>0,35 % || stabil</v>
      </c>
      <c r="I171" t="str">
        <f t="shared" ref="I171:I176" si="10">CONCATENATE(" | ",G171," || ",H171," || ",F171)</f>
        <v xml:space="preserve"> | [http://atom.kaeri.re.kr/cgi-bin/nuclide?nuc=Kr-78 &lt;sub&gt;78&lt;/sub&gt;Kr] || 0,35 % || stabil || </v>
      </c>
      <c r="N171" t="str">
        <f t="shared" ref="N171:N176" si="11">CONCATENATE(I171,"&lt;br&gt;"," |-")</f>
        <v xml:space="preserve"> | [http://atom.kaeri.re.kr/cgi-bin/nuclide?nuc=Kr-78 &lt;sub&gt;78&lt;/sub&gt;Kr] || 0,35 % || stabil || &lt;br&gt; |-</v>
      </c>
    </row>
    <row r="172" spans="1:14" ht="15.9" customHeight="1">
      <c r="A172" s="73">
        <v>36</v>
      </c>
      <c r="B172" s="81" t="s">
        <v>67</v>
      </c>
      <c r="C172" s="73">
        <v>80</v>
      </c>
      <c r="D172" s="73">
        <v>2.2799999999999998</v>
      </c>
      <c r="E172" t="s">
        <v>1175</v>
      </c>
      <c r="G172" t="str">
        <f t="shared" si="8"/>
        <v>[http://atom.kaeri.re.kr/cgi-bin/nuclide?nuc=Kr-80 &lt;sub&gt;80&lt;/sub&gt;Kr]</v>
      </c>
      <c r="H172" t="str">
        <f t="shared" si="9"/>
        <v>2,28 % || stabil</v>
      </c>
      <c r="I172" t="str">
        <f t="shared" si="10"/>
        <v xml:space="preserve"> | [http://atom.kaeri.re.kr/cgi-bin/nuclide?nuc=Kr-80 &lt;sub&gt;80&lt;/sub&gt;Kr] || 2,28 % || stabil || </v>
      </c>
      <c r="N172" t="str">
        <f t="shared" si="11"/>
        <v xml:space="preserve"> | [http://atom.kaeri.re.kr/cgi-bin/nuclide?nuc=Kr-80 &lt;sub&gt;80&lt;/sub&gt;Kr] || 2,28 % || stabil || &lt;br&gt; |-</v>
      </c>
    </row>
    <row r="173" spans="1:14" ht="15.9" customHeight="1">
      <c r="A173" s="73">
        <v>36</v>
      </c>
      <c r="B173" s="81" t="s">
        <v>67</v>
      </c>
      <c r="C173" s="73">
        <v>82</v>
      </c>
      <c r="D173" s="73">
        <v>11.58</v>
      </c>
      <c r="E173" t="s">
        <v>1175</v>
      </c>
      <c r="G173" t="str">
        <f t="shared" si="8"/>
        <v>[http://atom.kaeri.re.kr/cgi-bin/nuclide?nuc=Kr-82 &lt;sub&gt;82&lt;/sub&gt;Kr]</v>
      </c>
      <c r="H173" t="str">
        <f t="shared" si="9"/>
        <v>11,58 % || stabil</v>
      </c>
      <c r="I173" t="str">
        <f t="shared" si="10"/>
        <v xml:space="preserve"> | [http://atom.kaeri.re.kr/cgi-bin/nuclide?nuc=Kr-82 &lt;sub&gt;82&lt;/sub&gt;Kr] || 11,58 % || stabil || </v>
      </c>
      <c r="N173" t="str">
        <f t="shared" si="11"/>
        <v xml:space="preserve"> | [http://atom.kaeri.re.kr/cgi-bin/nuclide?nuc=Kr-82 &lt;sub&gt;82&lt;/sub&gt;Kr] || 11,58 % || stabil || &lt;br&gt; |-</v>
      </c>
    </row>
    <row r="174" spans="1:14" ht="15.9" customHeight="1">
      <c r="A174" s="73">
        <v>36</v>
      </c>
      <c r="B174" s="81" t="s">
        <v>67</v>
      </c>
      <c r="C174" s="73">
        <v>83</v>
      </c>
      <c r="D174" s="73">
        <v>11.49</v>
      </c>
      <c r="E174" t="s">
        <v>1175</v>
      </c>
      <c r="G174" t="str">
        <f t="shared" si="8"/>
        <v>[http://atom.kaeri.re.kr/cgi-bin/nuclide?nuc=Kr-83 &lt;sub&gt;83&lt;/sub&gt;Kr]</v>
      </c>
      <c r="H174" t="str">
        <f t="shared" si="9"/>
        <v>11,49 % || stabil</v>
      </c>
      <c r="I174" t="str">
        <f t="shared" si="10"/>
        <v xml:space="preserve"> | [http://atom.kaeri.re.kr/cgi-bin/nuclide?nuc=Kr-83 &lt;sub&gt;83&lt;/sub&gt;Kr] || 11,49 % || stabil || </v>
      </c>
      <c r="N174" t="str">
        <f t="shared" si="11"/>
        <v xml:space="preserve"> | [http://atom.kaeri.re.kr/cgi-bin/nuclide?nuc=Kr-83 &lt;sub&gt;83&lt;/sub&gt;Kr] || 11,49 % || stabil || &lt;br&gt; |-</v>
      </c>
    </row>
    <row r="175" spans="1:14" ht="15.9" customHeight="1">
      <c r="A175" s="73">
        <v>36</v>
      </c>
      <c r="B175" s="81" t="s">
        <v>67</v>
      </c>
      <c r="C175" s="73">
        <v>84</v>
      </c>
      <c r="D175" s="73">
        <v>57</v>
      </c>
      <c r="E175" t="s">
        <v>1175</v>
      </c>
      <c r="G175" t="str">
        <f t="shared" si="8"/>
        <v>[http://atom.kaeri.re.kr/cgi-bin/nuclide?nuc=Kr-84 &lt;sub&gt;84&lt;/sub&gt;Kr]</v>
      </c>
      <c r="H175" t="str">
        <f t="shared" si="9"/>
        <v>57 % || stabil</v>
      </c>
      <c r="I175" t="str">
        <f t="shared" si="10"/>
        <v xml:space="preserve"> | [http://atom.kaeri.re.kr/cgi-bin/nuclide?nuc=Kr-84 &lt;sub&gt;84&lt;/sub&gt;Kr] || 57 % || stabil || </v>
      </c>
      <c r="N175" t="str">
        <f t="shared" si="11"/>
        <v xml:space="preserve"> | [http://atom.kaeri.re.kr/cgi-bin/nuclide?nuc=Kr-84 &lt;sub&gt;84&lt;/sub&gt;Kr] || 57 % || stabil || &lt;br&gt; |-</v>
      </c>
    </row>
    <row r="176" spans="1:14" ht="15.9" customHeight="1">
      <c r="A176" s="73">
        <v>36</v>
      </c>
      <c r="B176" s="81" t="s">
        <v>67</v>
      </c>
      <c r="C176" s="73">
        <v>86</v>
      </c>
      <c r="D176" s="73">
        <v>17.3</v>
      </c>
      <c r="E176" t="s">
        <v>1175</v>
      </c>
      <c r="G176" t="str">
        <f t="shared" si="8"/>
        <v>[http://atom.kaeri.re.kr/cgi-bin/nuclide?nuc=Kr-86 &lt;sub&gt;86&lt;/sub&gt;Kr]</v>
      </c>
      <c r="H176" t="str">
        <f t="shared" si="9"/>
        <v>17,3 % || stabil</v>
      </c>
      <c r="I176" t="str">
        <f t="shared" si="10"/>
        <v xml:space="preserve"> | [http://atom.kaeri.re.kr/cgi-bin/nuclide?nuc=Kr-86 &lt;sub&gt;86&lt;/sub&gt;Kr] || 17,3 % || stabil || </v>
      </c>
      <c r="N176" t="str">
        <f t="shared" si="11"/>
        <v xml:space="preserve"> | [http://atom.kaeri.re.kr/cgi-bin/nuclide?nuc=Kr-86 &lt;sub&gt;86&lt;/sub&gt;Kr] || 17,3 % || stabil || &lt;br&gt; |-</v>
      </c>
    </row>
    <row r="177" spans="1:14" ht="15.9" customHeight="1">
      <c r="A177">
        <v>36</v>
      </c>
      <c r="B177" s="83" t="s">
        <v>67</v>
      </c>
      <c r="C177">
        <v>999</v>
      </c>
      <c r="D177" t="s">
        <v>68</v>
      </c>
      <c r="E177" t="s">
        <v>1175</v>
      </c>
      <c r="N177" t="str">
        <f>CONCATENATE(" |}&lt;br&gt;* [http://atom.kaeri.re.kr/cgi-bin/nuclide?nuc=",B177," alle bekannten ",D177,"-Isotope]")</f>
        <v xml:space="preserve"> |}&lt;br&gt;* [http://atom.kaeri.re.kr/cgi-bin/nuclide?nuc=Kr alle bekannten Krypton-Isotope]</v>
      </c>
    </row>
    <row r="178" spans="1:14" ht="15.9" customHeight="1">
      <c r="A178">
        <v>37</v>
      </c>
      <c r="B178" s="83" t="s">
        <v>69</v>
      </c>
      <c r="C178" s="73">
        <v>0</v>
      </c>
      <c r="D178" t="s">
        <v>70</v>
      </c>
      <c r="E178" t="s">
        <v>1175</v>
      </c>
      <c r="N178" t="str">
        <f>CONCATENATE("=== [[",D178,"]] ===&lt;br&gt;{| {{tabelle}}&lt;br&gt;! Isotop !! ",$D$1," !! [[",$E$1,"]] !! ",$F$1," &lt;br&gt; |-")</f>
        <v>=== [[Rubidium]] ===&lt;br&gt;{| {{tabelle}}&lt;br&gt;! Isotop !! natürliche Häufigkeit !! [[Halbwertszeit]] !! Herkunft, techn. Bedeutung &lt;br&gt; |-</v>
      </c>
    </row>
    <row r="179" spans="1:14" ht="15.9" customHeight="1">
      <c r="A179" s="73">
        <v>37</v>
      </c>
      <c r="B179" s="81" t="s">
        <v>69</v>
      </c>
      <c r="C179" s="73">
        <v>85</v>
      </c>
      <c r="D179" s="73">
        <v>72.17</v>
      </c>
      <c r="E179" t="s">
        <v>1175</v>
      </c>
      <c r="G179" t="str">
        <f>CONCATENATE("[","http://atom.kaeri.re.kr/cgi-bin/nuclide?nuc=",B179,"-",C179," &lt;sub&gt;",C179,"&lt;/sub&gt;",B179,"]")</f>
        <v>[http://atom.kaeri.re.kr/cgi-bin/nuclide?nuc=Rb-85 &lt;sub&gt;85&lt;/sub&gt;Rb]</v>
      </c>
      <c r="H179" t="str">
        <f>CONCATENATE(D179," % || ",E179)</f>
        <v>72,17 % || stabil</v>
      </c>
      <c r="I179" t="str">
        <f>CONCATENATE(" | ",G179," || ",H179," || ",F179)</f>
        <v xml:space="preserve"> | [http://atom.kaeri.re.kr/cgi-bin/nuclide?nuc=Rb-85 &lt;sub&gt;85&lt;/sub&gt;Rb] || 72,17 % || stabil || </v>
      </c>
      <c r="N179" t="str">
        <f>CONCATENATE(I179,"&lt;br&gt;"," |-")</f>
        <v xml:space="preserve"> | [http://atom.kaeri.re.kr/cgi-bin/nuclide?nuc=Rb-85 &lt;sub&gt;85&lt;/sub&gt;Rb] || 72,17 % || stabil || &lt;br&gt; |-</v>
      </c>
    </row>
    <row r="180" spans="1:14" ht="15.9" customHeight="1">
      <c r="A180" s="73">
        <v>37</v>
      </c>
      <c r="B180" s="81" t="s">
        <v>69</v>
      </c>
      <c r="C180" s="73">
        <v>87</v>
      </c>
      <c r="D180" s="73">
        <v>27.83</v>
      </c>
      <c r="E180" t="s">
        <v>1175</v>
      </c>
      <c r="G180" t="str">
        <f>CONCATENATE("[","http://atom.kaeri.re.kr/cgi-bin/nuclide?nuc=",B180,"-",C180," &lt;sub&gt;",C180,"&lt;/sub&gt;",B180,"]")</f>
        <v>[http://atom.kaeri.re.kr/cgi-bin/nuclide?nuc=Rb-87 &lt;sub&gt;87&lt;/sub&gt;Rb]</v>
      </c>
      <c r="H180" t="str">
        <f>CONCATENATE(D180," % || ",E180)</f>
        <v>27,83 % || stabil</v>
      </c>
      <c r="I180" t="str">
        <f>CONCATENATE(" | ",G180," || ",H180," || ",F180)</f>
        <v xml:space="preserve"> | [http://atom.kaeri.re.kr/cgi-bin/nuclide?nuc=Rb-87 &lt;sub&gt;87&lt;/sub&gt;Rb] || 27,83 % || stabil || </v>
      </c>
      <c r="N180" t="str">
        <f>CONCATENATE(I180,"&lt;br&gt;"," |-")</f>
        <v xml:space="preserve"> | [http://atom.kaeri.re.kr/cgi-bin/nuclide?nuc=Rb-87 &lt;sub&gt;87&lt;/sub&gt;Rb] || 27,83 % || stabil || &lt;br&gt; |-</v>
      </c>
    </row>
    <row r="181" spans="1:14" ht="15.9" customHeight="1">
      <c r="A181">
        <v>37</v>
      </c>
      <c r="B181" s="83" t="s">
        <v>69</v>
      </c>
      <c r="C181">
        <v>999</v>
      </c>
      <c r="D181" t="s">
        <v>70</v>
      </c>
      <c r="E181" t="s">
        <v>1175</v>
      </c>
      <c r="N181" t="str">
        <f>CONCATENATE(" |}&lt;br&gt;* [http://atom.kaeri.re.kr/cgi-bin/nuclide?nuc=",B181," alle bekannten ",D181,"-Isotope]")</f>
        <v xml:space="preserve"> |}&lt;br&gt;* [http://atom.kaeri.re.kr/cgi-bin/nuclide?nuc=Rb alle bekannten Rubidium-Isotope]</v>
      </c>
    </row>
    <row r="182" spans="1:14" ht="15.9" customHeight="1">
      <c r="A182">
        <v>38</v>
      </c>
      <c r="B182" s="83" t="s">
        <v>72</v>
      </c>
      <c r="C182" s="73">
        <v>0</v>
      </c>
      <c r="D182" t="s">
        <v>73</v>
      </c>
      <c r="E182" t="s">
        <v>1175</v>
      </c>
      <c r="N182" t="str">
        <f>CONCATENATE("=== [[",D182,"]] ===&lt;br&gt;{| {{tabelle}}&lt;br&gt;! Isotop !! ",$D$1," !! [[",$E$1,"]] !! ",$F$1," &lt;br&gt; |-")</f>
        <v>=== [[Strontium]] ===&lt;br&gt;{| {{tabelle}}&lt;br&gt;! Isotop !! natürliche Häufigkeit !! [[Halbwertszeit]] !! Herkunft, techn. Bedeutung &lt;br&gt; |-</v>
      </c>
    </row>
    <row r="183" spans="1:14" ht="15.9" customHeight="1">
      <c r="A183" s="73">
        <v>38</v>
      </c>
      <c r="B183" s="81" t="s">
        <v>72</v>
      </c>
      <c r="C183" s="73">
        <v>84</v>
      </c>
      <c r="D183" s="73">
        <v>0.56000000000000005</v>
      </c>
      <c r="E183" t="s">
        <v>1175</v>
      </c>
      <c r="G183" t="str">
        <f>CONCATENATE("[","http://atom.kaeri.re.kr/cgi-bin/nuclide?nuc=",B183,"-",C183," &lt;sub&gt;",C183,"&lt;/sub&gt;",B183,"]")</f>
        <v>[http://atom.kaeri.re.kr/cgi-bin/nuclide?nuc=Sr-84 &lt;sub&gt;84&lt;/sub&gt;Sr]</v>
      </c>
      <c r="H183" t="str">
        <f>CONCATENATE(D183," % || ",E183)</f>
        <v>0,56 % || stabil</v>
      </c>
      <c r="I183" t="str">
        <f>CONCATENATE(" | ",G183," || ",H183," || ",F183)</f>
        <v xml:space="preserve"> | [http://atom.kaeri.re.kr/cgi-bin/nuclide?nuc=Sr-84 &lt;sub&gt;84&lt;/sub&gt;Sr] || 0,56 % || stabil || </v>
      </c>
      <c r="N183" t="str">
        <f>CONCATENATE(I183,"&lt;br&gt;"," |-")</f>
        <v xml:space="preserve"> | [http://atom.kaeri.re.kr/cgi-bin/nuclide?nuc=Sr-84 &lt;sub&gt;84&lt;/sub&gt;Sr] || 0,56 % || stabil || &lt;br&gt; |-</v>
      </c>
    </row>
    <row r="184" spans="1:14" ht="15.9" customHeight="1">
      <c r="A184" s="73">
        <v>38</v>
      </c>
      <c r="B184" s="81" t="s">
        <v>72</v>
      </c>
      <c r="C184" s="73">
        <v>86</v>
      </c>
      <c r="D184" s="73">
        <v>9.86</v>
      </c>
      <c r="E184" t="s">
        <v>1175</v>
      </c>
      <c r="G184" t="str">
        <f>CONCATENATE("[","http://atom.kaeri.re.kr/cgi-bin/nuclide?nuc=",B184,"-",C184," &lt;sub&gt;",C184,"&lt;/sub&gt;",B184,"]")</f>
        <v>[http://atom.kaeri.re.kr/cgi-bin/nuclide?nuc=Sr-86 &lt;sub&gt;86&lt;/sub&gt;Sr]</v>
      </c>
      <c r="H184" t="str">
        <f>CONCATENATE(D184," % || ",E184)</f>
        <v>9,86 % || stabil</v>
      </c>
      <c r="I184" t="str">
        <f>CONCATENATE(" | ",G184," || ",H184," || ",F184)</f>
        <v xml:space="preserve"> | [http://atom.kaeri.re.kr/cgi-bin/nuclide?nuc=Sr-86 &lt;sub&gt;86&lt;/sub&gt;Sr] || 9,86 % || stabil || </v>
      </c>
      <c r="N184" t="str">
        <f>CONCATENATE(I184,"&lt;br&gt;"," |-")</f>
        <v xml:space="preserve"> | [http://atom.kaeri.re.kr/cgi-bin/nuclide?nuc=Sr-86 &lt;sub&gt;86&lt;/sub&gt;Sr] || 9,86 % || stabil || &lt;br&gt; |-</v>
      </c>
    </row>
    <row r="185" spans="1:14" ht="15.9" customHeight="1">
      <c r="A185" s="73">
        <v>38</v>
      </c>
      <c r="B185" s="81" t="s">
        <v>72</v>
      </c>
      <c r="C185" s="73">
        <v>87</v>
      </c>
      <c r="D185" s="73">
        <v>7</v>
      </c>
      <c r="E185" t="s">
        <v>1175</v>
      </c>
      <c r="G185" t="str">
        <f>CONCATENATE("[","http://atom.kaeri.re.kr/cgi-bin/nuclide?nuc=",B185,"-",C185," &lt;sub&gt;",C185,"&lt;/sub&gt;",B185,"]")</f>
        <v>[http://atom.kaeri.re.kr/cgi-bin/nuclide?nuc=Sr-87 &lt;sub&gt;87&lt;/sub&gt;Sr]</v>
      </c>
      <c r="H185" t="str">
        <f>CONCATENATE(D185," % || ",E185)</f>
        <v>7 % || stabil</v>
      </c>
      <c r="I185" t="str">
        <f>CONCATENATE(" | ",G185," || ",H185," || ",F185)</f>
        <v xml:space="preserve"> | [http://atom.kaeri.re.kr/cgi-bin/nuclide?nuc=Sr-87 &lt;sub&gt;87&lt;/sub&gt;Sr] || 7 % || stabil || </v>
      </c>
      <c r="N185" t="str">
        <f>CONCATENATE(I185,"&lt;br&gt;"," |-")</f>
        <v xml:space="preserve"> | [http://atom.kaeri.re.kr/cgi-bin/nuclide?nuc=Sr-87 &lt;sub&gt;87&lt;/sub&gt;Sr] || 7 % || stabil || &lt;br&gt; |-</v>
      </c>
    </row>
    <row r="186" spans="1:14" ht="15.9" customHeight="1">
      <c r="A186" s="73">
        <v>38</v>
      </c>
      <c r="B186" s="81" t="s">
        <v>72</v>
      </c>
      <c r="C186" s="73">
        <v>88</v>
      </c>
      <c r="D186" s="73">
        <v>82.58</v>
      </c>
      <c r="E186" t="s">
        <v>1175</v>
      </c>
      <c r="G186" t="str">
        <f>CONCATENATE("[","http://atom.kaeri.re.kr/cgi-bin/nuclide?nuc=",B186,"-",C186," &lt;sub&gt;",C186,"&lt;/sub&gt;",B186,"]")</f>
        <v>[http://atom.kaeri.re.kr/cgi-bin/nuclide?nuc=Sr-88 &lt;sub&gt;88&lt;/sub&gt;Sr]</v>
      </c>
      <c r="H186" t="str">
        <f>CONCATENATE(D186," % || ",E186)</f>
        <v>82,58 % || stabil</v>
      </c>
      <c r="I186" t="str">
        <f>CONCATENATE(" | ",G186," || ",H186," || ",F186)</f>
        <v xml:space="preserve"> | [http://atom.kaeri.re.kr/cgi-bin/nuclide?nuc=Sr-88 &lt;sub&gt;88&lt;/sub&gt;Sr] || 82,58 % || stabil || </v>
      </c>
      <c r="N186" t="str">
        <f>CONCATENATE(I186,"&lt;br&gt;"," |-")</f>
        <v xml:space="preserve"> | [http://atom.kaeri.re.kr/cgi-bin/nuclide?nuc=Sr-88 &lt;sub&gt;88&lt;/sub&gt;Sr] || 82,58 % || stabil || &lt;br&gt; |-</v>
      </c>
    </row>
    <row r="187" spans="1:14" s="78" customFormat="1" ht="15.9" customHeight="1">
      <c r="A187" s="73">
        <v>38</v>
      </c>
      <c r="B187" s="82" t="s">
        <v>72</v>
      </c>
      <c r="C187" s="79">
        <v>90</v>
      </c>
      <c r="D187" s="78" t="s">
        <v>1068</v>
      </c>
      <c r="E187" t="s">
        <v>1146</v>
      </c>
      <c r="F187" t="s">
        <v>1184</v>
      </c>
      <c r="G187" t="str">
        <f>CONCATENATE("[","http://atom.kaeri.re.kr/cgi-bin/nuclide?nuc=",B187,"-",C187," &lt;sub&gt;",C187,"&lt;/sub&gt;",B187,"]")</f>
        <v>[http://atom.kaeri.re.kr/cgi-bin/nuclide?nuc=Sr-90 &lt;sub&gt;90&lt;/sub&gt;Sr]</v>
      </c>
      <c r="H187" t="str">
        <f>CONCATENATE(D187," % || ",E187)</f>
        <v>- % || 28,5 Jahre</v>
      </c>
      <c r="I187" t="str">
        <f>CONCATENATE(" | ",G187," || ",H187," || ",F187)</f>
        <v xml:space="preserve"> | [http://atom.kaeri.re.kr/cgi-bin/nuclide?nuc=Sr-90 &lt;sub&gt;90&lt;/sub&gt;Sr] || - % || 28,5 Jahre || [[radioaktiv]], Kernwaffenfallout, Kerntechnik, Medizin</v>
      </c>
      <c r="J187"/>
      <c r="K187"/>
      <c r="L187"/>
      <c r="M187"/>
      <c r="N187" t="str">
        <f>CONCATENATE(I187,"&lt;br&gt;"," |-")</f>
        <v xml:space="preserve"> | [http://atom.kaeri.re.kr/cgi-bin/nuclide?nuc=Sr-90 &lt;sub&gt;90&lt;/sub&gt;Sr] || - % || 28,5 Jahre || [[radioaktiv]], Kernwaffenfallout, Kerntechnik, Medizin&lt;br&gt; |-</v>
      </c>
    </row>
    <row r="188" spans="1:14" ht="15.9" customHeight="1">
      <c r="A188" s="73">
        <v>38</v>
      </c>
      <c r="B188" s="83" t="s">
        <v>72</v>
      </c>
      <c r="C188">
        <v>999</v>
      </c>
      <c r="D188" t="s">
        <v>73</v>
      </c>
      <c r="E188" t="s">
        <v>1175</v>
      </c>
      <c r="N188" t="str">
        <f>CONCATENATE(" |}&lt;br&gt;* [http://atom.kaeri.re.kr/cgi-bin/nuclide?nuc=",B188," alle bekannten ",D188,"-Isotope]")</f>
        <v xml:space="preserve"> |}&lt;br&gt;* [http://atom.kaeri.re.kr/cgi-bin/nuclide?nuc=Sr alle bekannten Strontium-Isotope]</v>
      </c>
    </row>
    <row r="189" spans="1:14" ht="15.9" customHeight="1">
      <c r="A189">
        <v>39</v>
      </c>
      <c r="B189" s="83" t="s">
        <v>76</v>
      </c>
      <c r="C189" s="73">
        <v>0</v>
      </c>
      <c r="D189" t="s">
        <v>77</v>
      </c>
      <c r="E189" t="s">
        <v>1175</v>
      </c>
      <c r="N189" t="str">
        <f>CONCATENATE("=== [[",D189,"]] ===&lt;br&gt;{| {{tabelle}}&lt;br&gt;! Isotop !! ",$D$1," !! [[",$E$1,"]] !! ",$F$1," &lt;br&gt; |-")</f>
        <v>=== [[Yttrium]] ===&lt;br&gt;{| {{tabelle}}&lt;br&gt;! Isotop !! natürliche Häufigkeit !! [[Halbwertszeit]] !! Herkunft, techn. Bedeutung &lt;br&gt; |-</v>
      </c>
    </row>
    <row r="190" spans="1:14" ht="15.9" customHeight="1">
      <c r="A190" s="73">
        <v>39</v>
      </c>
      <c r="B190" s="81" t="s">
        <v>76</v>
      </c>
      <c r="C190" s="73">
        <v>89</v>
      </c>
      <c r="D190" s="73">
        <v>100</v>
      </c>
      <c r="E190" t="s">
        <v>1175</v>
      </c>
      <c r="G190" t="str">
        <f>CONCATENATE("[","http://atom.kaeri.re.kr/cgi-bin/nuclide?nuc=",B190,"-",C190," &lt;sub&gt;",C190,"&lt;/sub&gt;",B190,"]")</f>
        <v>[http://atom.kaeri.re.kr/cgi-bin/nuclide?nuc=Y-89 &lt;sub&gt;89&lt;/sub&gt;Y]</v>
      </c>
      <c r="H190" t="str">
        <f>CONCATENATE(D190," % || ",E190)</f>
        <v>100 % || stabil</v>
      </c>
      <c r="I190" t="str">
        <f>CONCATENATE(" | ",G190," || ",H190," || ",F190)</f>
        <v xml:space="preserve"> | [http://atom.kaeri.re.kr/cgi-bin/nuclide?nuc=Y-89 &lt;sub&gt;89&lt;/sub&gt;Y] || 100 % || stabil || </v>
      </c>
      <c r="N190" t="str">
        <f>CONCATENATE(I190,"&lt;br&gt;"," |-")</f>
        <v xml:space="preserve"> | [http://atom.kaeri.re.kr/cgi-bin/nuclide?nuc=Y-89 &lt;sub&gt;89&lt;/sub&gt;Y] || 100 % || stabil || &lt;br&gt; |-</v>
      </c>
    </row>
    <row r="191" spans="1:14" ht="15.9" customHeight="1">
      <c r="A191">
        <v>39</v>
      </c>
      <c r="B191" s="83" t="s">
        <v>76</v>
      </c>
      <c r="C191">
        <v>999</v>
      </c>
      <c r="D191" t="s">
        <v>77</v>
      </c>
      <c r="E191" t="s">
        <v>1175</v>
      </c>
      <c r="N191" t="str">
        <f>CONCATENATE(" |}&lt;br&gt;* [http://atom.kaeri.re.kr/cgi-bin/nuclide?nuc=",B191," alle bekannten ",D191,"-Isotope]")</f>
        <v xml:space="preserve"> |}&lt;br&gt;* [http://atom.kaeri.re.kr/cgi-bin/nuclide?nuc=Y alle bekannten Yttrium-Isotope]</v>
      </c>
    </row>
    <row r="192" spans="1:14" ht="15.9" customHeight="1">
      <c r="A192">
        <v>40</v>
      </c>
      <c r="B192" s="83" t="s">
        <v>80</v>
      </c>
      <c r="C192" s="73">
        <v>0</v>
      </c>
      <c r="D192" t="s">
        <v>81</v>
      </c>
      <c r="E192" t="s">
        <v>1175</v>
      </c>
      <c r="N192" t="str">
        <f>CONCATENATE("=== [[",D192,"]] ===&lt;br&gt;{| {{tabelle}}&lt;br&gt;! Isotop !! ",$D$1," !! [[",$E$1,"]] !! ",$F$1," &lt;br&gt; |-")</f>
        <v>=== [[Zirconium]] ===&lt;br&gt;{| {{tabelle}}&lt;br&gt;! Isotop !! natürliche Häufigkeit !! [[Halbwertszeit]] !! Herkunft, techn. Bedeutung &lt;br&gt; |-</v>
      </c>
    </row>
    <row r="193" spans="1:14" ht="15.9" customHeight="1">
      <c r="A193" s="73">
        <v>40</v>
      </c>
      <c r="B193" s="81" t="s">
        <v>80</v>
      </c>
      <c r="C193" s="73">
        <v>90</v>
      </c>
      <c r="D193" s="73">
        <v>51.45</v>
      </c>
      <c r="E193" t="s">
        <v>1175</v>
      </c>
      <c r="G193" t="str">
        <f>CONCATENATE("[","http://atom.kaeri.re.kr/cgi-bin/nuclide?nuc=",B193,"-",C193," &lt;sub&gt;",C193,"&lt;/sub&gt;",B193,"]")</f>
        <v>[http://atom.kaeri.re.kr/cgi-bin/nuclide?nuc=Zr-90 &lt;sub&gt;90&lt;/sub&gt;Zr]</v>
      </c>
      <c r="H193" t="str">
        <f>CONCATENATE(D193," % || ",E193)</f>
        <v>51,45 % || stabil</v>
      </c>
      <c r="I193" t="str">
        <f>CONCATENATE(" | ",G193," || ",H193," || ",F193)</f>
        <v xml:space="preserve"> | [http://atom.kaeri.re.kr/cgi-bin/nuclide?nuc=Zr-90 &lt;sub&gt;90&lt;/sub&gt;Zr] || 51,45 % || stabil || </v>
      </c>
      <c r="N193" t="str">
        <f>CONCATENATE(I193,"&lt;br&gt;"," |-")</f>
        <v xml:space="preserve"> | [http://atom.kaeri.re.kr/cgi-bin/nuclide?nuc=Zr-90 &lt;sub&gt;90&lt;/sub&gt;Zr] || 51,45 % || stabil || &lt;br&gt; |-</v>
      </c>
    </row>
    <row r="194" spans="1:14" ht="15.9" customHeight="1">
      <c r="A194" s="73">
        <v>40</v>
      </c>
      <c r="B194" s="81" t="s">
        <v>80</v>
      </c>
      <c r="C194" s="73">
        <v>91</v>
      </c>
      <c r="D194" s="73">
        <v>11.22</v>
      </c>
      <c r="E194" t="s">
        <v>1175</v>
      </c>
      <c r="G194" t="str">
        <f>CONCATENATE("[","http://atom.kaeri.re.kr/cgi-bin/nuclide?nuc=",B194,"-",C194," &lt;sub&gt;",C194,"&lt;/sub&gt;",B194,"]")</f>
        <v>[http://atom.kaeri.re.kr/cgi-bin/nuclide?nuc=Zr-91 &lt;sub&gt;91&lt;/sub&gt;Zr]</v>
      </c>
      <c r="H194" t="str">
        <f>CONCATENATE(D194," % || ",E194)</f>
        <v>11,22 % || stabil</v>
      </c>
      <c r="I194" t="str">
        <f>CONCATENATE(" | ",G194," || ",H194," || ",F194)</f>
        <v xml:space="preserve"> | [http://atom.kaeri.re.kr/cgi-bin/nuclide?nuc=Zr-91 &lt;sub&gt;91&lt;/sub&gt;Zr] || 11,22 % || stabil || </v>
      </c>
      <c r="N194" t="str">
        <f>CONCATENATE(I194,"&lt;br&gt;"," |-")</f>
        <v xml:space="preserve"> | [http://atom.kaeri.re.kr/cgi-bin/nuclide?nuc=Zr-91 &lt;sub&gt;91&lt;/sub&gt;Zr] || 11,22 % || stabil || &lt;br&gt; |-</v>
      </c>
    </row>
    <row r="195" spans="1:14" ht="15.9" customHeight="1">
      <c r="A195" s="73">
        <v>40</v>
      </c>
      <c r="B195" s="81" t="s">
        <v>80</v>
      </c>
      <c r="C195" s="73">
        <v>92</v>
      </c>
      <c r="D195" s="73">
        <v>17.149999999999999</v>
      </c>
      <c r="E195" t="s">
        <v>1175</v>
      </c>
      <c r="G195" t="str">
        <f>CONCATENATE("[","http://atom.kaeri.re.kr/cgi-bin/nuclide?nuc=",B195,"-",C195," &lt;sub&gt;",C195,"&lt;/sub&gt;",B195,"]")</f>
        <v>[http://atom.kaeri.re.kr/cgi-bin/nuclide?nuc=Zr-92 &lt;sub&gt;92&lt;/sub&gt;Zr]</v>
      </c>
      <c r="H195" t="str">
        <f>CONCATENATE(D195," % || ",E195)</f>
        <v>17,15 % || stabil</v>
      </c>
      <c r="I195" t="str">
        <f>CONCATENATE(" | ",G195," || ",H195," || ",F195)</f>
        <v xml:space="preserve"> | [http://atom.kaeri.re.kr/cgi-bin/nuclide?nuc=Zr-92 &lt;sub&gt;92&lt;/sub&gt;Zr] || 17,15 % || stabil || </v>
      </c>
      <c r="N195" t="str">
        <f>CONCATENATE(I195,"&lt;br&gt;"," |-")</f>
        <v xml:space="preserve"> | [http://atom.kaeri.re.kr/cgi-bin/nuclide?nuc=Zr-92 &lt;sub&gt;92&lt;/sub&gt;Zr] || 17,15 % || stabil || &lt;br&gt; |-</v>
      </c>
    </row>
    <row r="196" spans="1:14" ht="15.9" customHeight="1">
      <c r="A196" s="73">
        <v>40</v>
      </c>
      <c r="B196" s="81" t="s">
        <v>80</v>
      </c>
      <c r="C196" s="73">
        <v>94</v>
      </c>
      <c r="D196" s="73">
        <v>17.38</v>
      </c>
      <c r="E196" t="s">
        <v>1175</v>
      </c>
      <c r="G196" t="str">
        <f>CONCATENATE("[","http://atom.kaeri.re.kr/cgi-bin/nuclide?nuc=",B196,"-",C196," &lt;sub&gt;",C196,"&lt;/sub&gt;",B196,"]")</f>
        <v>[http://atom.kaeri.re.kr/cgi-bin/nuclide?nuc=Zr-94 &lt;sub&gt;94&lt;/sub&gt;Zr]</v>
      </c>
      <c r="H196" t="str">
        <f>CONCATENATE(D196," % || ",E196)</f>
        <v>17,38 % || stabil</v>
      </c>
      <c r="I196" t="str">
        <f>CONCATENATE(" | ",G196," || ",H196," || ",F196)</f>
        <v xml:space="preserve"> | [http://atom.kaeri.re.kr/cgi-bin/nuclide?nuc=Zr-94 &lt;sub&gt;94&lt;/sub&gt;Zr] || 17,38 % || stabil || </v>
      </c>
      <c r="N196" t="str">
        <f>CONCATENATE(I196,"&lt;br&gt;"," |-")</f>
        <v xml:space="preserve"> | [http://atom.kaeri.re.kr/cgi-bin/nuclide?nuc=Zr-94 &lt;sub&gt;94&lt;/sub&gt;Zr] || 17,38 % || stabil || &lt;br&gt; |-</v>
      </c>
    </row>
    <row r="197" spans="1:14" ht="15.9" customHeight="1">
      <c r="A197" s="73">
        <v>40</v>
      </c>
      <c r="B197" s="81" t="s">
        <v>80</v>
      </c>
      <c r="C197" s="73">
        <v>96</v>
      </c>
      <c r="D197" s="73">
        <v>2.8</v>
      </c>
      <c r="E197" t="s">
        <v>1175</v>
      </c>
      <c r="G197" t="str">
        <f>CONCATENATE("[","http://atom.kaeri.re.kr/cgi-bin/nuclide?nuc=",B197,"-",C197," &lt;sub&gt;",C197,"&lt;/sub&gt;",B197,"]")</f>
        <v>[http://atom.kaeri.re.kr/cgi-bin/nuclide?nuc=Zr-96 &lt;sub&gt;96&lt;/sub&gt;Zr]</v>
      </c>
      <c r="H197" t="str">
        <f>CONCATENATE(D197," % || ",E197)</f>
        <v>2,8 % || stabil</v>
      </c>
      <c r="I197" t="str">
        <f>CONCATENATE(" | ",G197," || ",H197," || ",F197)</f>
        <v xml:space="preserve"> | [http://atom.kaeri.re.kr/cgi-bin/nuclide?nuc=Zr-96 &lt;sub&gt;96&lt;/sub&gt;Zr] || 2,8 % || stabil || </v>
      </c>
      <c r="N197" t="str">
        <f>CONCATENATE(I197,"&lt;br&gt;"," |-")</f>
        <v xml:space="preserve"> | [http://atom.kaeri.re.kr/cgi-bin/nuclide?nuc=Zr-96 &lt;sub&gt;96&lt;/sub&gt;Zr] || 2,8 % || stabil || &lt;br&gt; |-</v>
      </c>
    </row>
    <row r="198" spans="1:14" ht="15.9" customHeight="1">
      <c r="A198">
        <v>40</v>
      </c>
      <c r="B198" s="83" t="s">
        <v>80</v>
      </c>
      <c r="C198">
        <v>999</v>
      </c>
      <c r="D198" t="s">
        <v>81</v>
      </c>
      <c r="E198" t="s">
        <v>1175</v>
      </c>
      <c r="N198" t="str">
        <f>CONCATENATE(" |}&lt;br&gt;* [http://atom.kaeri.re.kr/cgi-bin/nuclide?nuc=",B198," alle bekannten ",D198,"-Isotope]")</f>
        <v xml:space="preserve"> |}&lt;br&gt;* [http://atom.kaeri.re.kr/cgi-bin/nuclide?nuc=Zr alle bekannten Zirconium-Isotope]</v>
      </c>
    </row>
    <row r="199" spans="1:14" ht="15.9" customHeight="1">
      <c r="A199">
        <v>41</v>
      </c>
      <c r="B199" s="83" t="s">
        <v>83</v>
      </c>
      <c r="C199" s="73">
        <v>0</v>
      </c>
      <c r="D199" t="s">
        <v>84</v>
      </c>
      <c r="E199" t="s">
        <v>1175</v>
      </c>
      <c r="N199" t="str">
        <f>CONCATENATE("=== [[",D199,"]] ===&lt;br&gt;{| {{tabelle}}&lt;br&gt;! Isotop !! ",$D$1," !! [[",$E$1,"]] !! ",$F$1," &lt;br&gt; |-")</f>
        <v>=== [[Niob]] ===&lt;br&gt;{| {{tabelle}}&lt;br&gt;! Isotop !! natürliche Häufigkeit !! [[Halbwertszeit]] !! Herkunft, techn. Bedeutung &lt;br&gt; |-</v>
      </c>
    </row>
    <row r="200" spans="1:14" ht="15.9" customHeight="1">
      <c r="A200" s="73">
        <v>41</v>
      </c>
      <c r="B200" s="81" t="s">
        <v>83</v>
      </c>
      <c r="C200" s="73">
        <v>93</v>
      </c>
      <c r="D200" s="73">
        <v>100</v>
      </c>
      <c r="E200" t="s">
        <v>1175</v>
      </c>
      <c r="G200" t="str">
        <f>CONCATENATE("[","http://atom.kaeri.re.kr/cgi-bin/nuclide?nuc=",B200,"-",C200," &lt;sub&gt;",C200,"&lt;/sub&gt;",B200,"]")</f>
        <v>[http://atom.kaeri.re.kr/cgi-bin/nuclide?nuc=Nb-93 &lt;sub&gt;93&lt;/sub&gt;Nb]</v>
      </c>
      <c r="H200" t="str">
        <f>CONCATENATE(D200," % || ",E200)</f>
        <v>100 % || stabil</v>
      </c>
      <c r="I200" t="str">
        <f>CONCATENATE(" | ",G200," || ",H200," || ",F200)</f>
        <v xml:space="preserve"> | [http://atom.kaeri.re.kr/cgi-bin/nuclide?nuc=Nb-93 &lt;sub&gt;93&lt;/sub&gt;Nb] || 100 % || stabil || </v>
      </c>
      <c r="N200" t="str">
        <f>CONCATENATE(I200,"&lt;br&gt;"," |-")</f>
        <v xml:space="preserve"> | [http://atom.kaeri.re.kr/cgi-bin/nuclide?nuc=Nb-93 &lt;sub&gt;93&lt;/sub&gt;Nb] || 100 % || stabil || &lt;br&gt; |-</v>
      </c>
    </row>
    <row r="201" spans="1:14" ht="15.9" customHeight="1">
      <c r="A201">
        <v>41</v>
      </c>
      <c r="B201" s="83" t="s">
        <v>83</v>
      </c>
      <c r="C201">
        <v>999</v>
      </c>
      <c r="D201" t="s">
        <v>84</v>
      </c>
      <c r="E201" t="s">
        <v>1175</v>
      </c>
      <c r="N201" t="str">
        <f>CONCATENATE(" |}&lt;br&gt;* [http://atom.kaeri.re.kr/cgi-bin/nuclide?nuc=",B201," alle bekannten ",D201,"-Isotope]")</f>
        <v xml:space="preserve"> |}&lt;br&gt;* [http://atom.kaeri.re.kr/cgi-bin/nuclide?nuc=Nb alle bekannten Niob-Isotope]</v>
      </c>
    </row>
    <row r="202" spans="1:14" ht="15.9" customHeight="1">
      <c r="A202">
        <v>42</v>
      </c>
      <c r="B202" s="83" t="s">
        <v>86</v>
      </c>
      <c r="C202" s="73">
        <v>0</v>
      </c>
      <c r="D202" t="s">
        <v>87</v>
      </c>
      <c r="E202" t="s">
        <v>1175</v>
      </c>
      <c r="N202" t="str">
        <f>CONCATENATE("=== [[",D202,"]] ===&lt;br&gt;{| {{tabelle}}&lt;br&gt;! Isotop !! ",$D$1," !! [[",$E$1,"]] !! ",$F$1," &lt;br&gt; |-")</f>
        <v>=== [[Molybdän]] ===&lt;br&gt;{| {{tabelle}}&lt;br&gt;! Isotop !! natürliche Häufigkeit !! [[Halbwertszeit]] !! Herkunft, techn. Bedeutung &lt;br&gt; |-</v>
      </c>
    </row>
    <row r="203" spans="1:14" ht="15.9" customHeight="1">
      <c r="A203" s="73">
        <v>42</v>
      </c>
      <c r="B203" s="81" t="s">
        <v>86</v>
      </c>
      <c r="C203" s="73">
        <v>92</v>
      </c>
      <c r="D203" s="73">
        <v>14.84</v>
      </c>
      <c r="E203" t="s">
        <v>1175</v>
      </c>
      <c r="G203" t="str">
        <f t="shared" ref="G203:G209" si="12">CONCATENATE("[","http://atom.kaeri.re.kr/cgi-bin/nuclide?nuc=",B203,"-",C203," &lt;sub&gt;",C203,"&lt;/sub&gt;",B203,"]")</f>
        <v>[http://atom.kaeri.re.kr/cgi-bin/nuclide?nuc=Mo-92 &lt;sub&gt;92&lt;/sub&gt;Mo]</v>
      </c>
      <c r="H203" t="str">
        <f t="shared" ref="H203:H209" si="13">CONCATENATE(D203," % || ",E203)</f>
        <v>14,84 % || stabil</v>
      </c>
      <c r="I203" t="str">
        <f t="shared" ref="I203:I209" si="14">CONCATENATE(" | ",G203," || ",H203," || ",F203)</f>
        <v xml:space="preserve"> | [http://atom.kaeri.re.kr/cgi-bin/nuclide?nuc=Mo-92 &lt;sub&gt;92&lt;/sub&gt;Mo] || 14,84 % || stabil || </v>
      </c>
      <c r="N203" t="str">
        <f t="shared" ref="N203:N209" si="15">CONCATENATE(I203,"&lt;br&gt;"," |-")</f>
        <v xml:space="preserve"> | [http://atom.kaeri.re.kr/cgi-bin/nuclide?nuc=Mo-92 &lt;sub&gt;92&lt;/sub&gt;Mo] || 14,84 % || stabil || &lt;br&gt; |-</v>
      </c>
    </row>
    <row r="204" spans="1:14" ht="15.9" customHeight="1">
      <c r="A204" s="73">
        <v>42</v>
      </c>
      <c r="B204" s="81" t="s">
        <v>86</v>
      </c>
      <c r="C204" s="73">
        <v>94</v>
      </c>
      <c r="D204" s="73">
        <v>9.25</v>
      </c>
      <c r="E204" t="s">
        <v>1175</v>
      </c>
      <c r="G204" t="str">
        <f t="shared" si="12"/>
        <v>[http://atom.kaeri.re.kr/cgi-bin/nuclide?nuc=Mo-94 &lt;sub&gt;94&lt;/sub&gt;Mo]</v>
      </c>
      <c r="H204" t="str">
        <f t="shared" si="13"/>
        <v>9,25 % || stabil</v>
      </c>
      <c r="I204" t="str">
        <f t="shared" si="14"/>
        <v xml:space="preserve"> | [http://atom.kaeri.re.kr/cgi-bin/nuclide?nuc=Mo-94 &lt;sub&gt;94&lt;/sub&gt;Mo] || 9,25 % || stabil || </v>
      </c>
      <c r="N204" t="str">
        <f t="shared" si="15"/>
        <v xml:space="preserve"> | [http://atom.kaeri.re.kr/cgi-bin/nuclide?nuc=Mo-94 &lt;sub&gt;94&lt;/sub&gt;Mo] || 9,25 % || stabil || &lt;br&gt; |-</v>
      </c>
    </row>
    <row r="205" spans="1:14" ht="15.9" customHeight="1">
      <c r="A205" s="73">
        <v>42</v>
      </c>
      <c r="B205" s="81" t="s">
        <v>86</v>
      </c>
      <c r="C205" s="73">
        <v>95</v>
      </c>
      <c r="D205" s="73">
        <v>15.92</v>
      </c>
      <c r="E205" t="s">
        <v>1175</v>
      </c>
      <c r="G205" t="str">
        <f t="shared" si="12"/>
        <v>[http://atom.kaeri.re.kr/cgi-bin/nuclide?nuc=Mo-95 &lt;sub&gt;95&lt;/sub&gt;Mo]</v>
      </c>
      <c r="H205" t="str">
        <f t="shared" si="13"/>
        <v>15,92 % || stabil</v>
      </c>
      <c r="I205" t="str">
        <f t="shared" si="14"/>
        <v xml:space="preserve"> | [http://atom.kaeri.re.kr/cgi-bin/nuclide?nuc=Mo-95 &lt;sub&gt;95&lt;/sub&gt;Mo] || 15,92 % || stabil || </v>
      </c>
      <c r="N205" t="str">
        <f t="shared" si="15"/>
        <v xml:space="preserve"> | [http://atom.kaeri.re.kr/cgi-bin/nuclide?nuc=Mo-95 &lt;sub&gt;95&lt;/sub&gt;Mo] || 15,92 % || stabil || &lt;br&gt; |-</v>
      </c>
    </row>
    <row r="206" spans="1:14" ht="15.9" customHeight="1">
      <c r="A206" s="73">
        <v>42</v>
      </c>
      <c r="B206" s="81" t="s">
        <v>86</v>
      </c>
      <c r="C206" s="73">
        <v>96</v>
      </c>
      <c r="D206" s="73">
        <v>16.68</v>
      </c>
      <c r="E206" t="s">
        <v>1175</v>
      </c>
      <c r="G206" t="str">
        <f t="shared" si="12"/>
        <v>[http://atom.kaeri.re.kr/cgi-bin/nuclide?nuc=Mo-96 &lt;sub&gt;96&lt;/sub&gt;Mo]</v>
      </c>
      <c r="H206" t="str">
        <f t="shared" si="13"/>
        <v>16,68 % || stabil</v>
      </c>
      <c r="I206" t="str">
        <f t="shared" si="14"/>
        <v xml:space="preserve"> | [http://atom.kaeri.re.kr/cgi-bin/nuclide?nuc=Mo-96 &lt;sub&gt;96&lt;/sub&gt;Mo] || 16,68 % || stabil || </v>
      </c>
      <c r="N206" t="str">
        <f t="shared" si="15"/>
        <v xml:space="preserve"> | [http://atom.kaeri.re.kr/cgi-bin/nuclide?nuc=Mo-96 &lt;sub&gt;96&lt;/sub&gt;Mo] || 16,68 % || stabil || &lt;br&gt; |-</v>
      </c>
    </row>
    <row r="207" spans="1:14" ht="15.9" customHeight="1">
      <c r="A207" s="73">
        <v>42</v>
      </c>
      <c r="B207" s="81" t="s">
        <v>86</v>
      </c>
      <c r="C207" s="73">
        <v>97</v>
      </c>
      <c r="D207" s="73">
        <v>9.5500000000000007</v>
      </c>
      <c r="E207" t="s">
        <v>1175</v>
      </c>
      <c r="G207" t="str">
        <f t="shared" si="12"/>
        <v>[http://atom.kaeri.re.kr/cgi-bin/nuclide?nuc=Mo-97 &lt;sub&gt;97&lt;/sub&gt;Mo]</v>
      </c>
      <c r="H207" t="str">
        <f t="shared" si="13"/>
        <v>9,55 % || stabil</v>
      </c>
      <c r="I207" t="str">
        <f t="shared" si="14"/>
        <v xml:space="preserve"> | [http://atom.kaeri.re.kr/cgi-bin/nuclide?nuc=Mo-97 &lt;sub&gt;97&lt;/sub&gt;Mo] || 9,55 % || stabil || </v>
      </c>
      <c r="N207" t="str">
        <f t="shared" si="15"/>
        <v xml:space="preserve"> | [http://atom.kaeri.re.kr/cgi-bin/nuclide?nuc=Mo-97 &lt;sub&gt;97&lt;/sub&gt;Mo] || 9,55 % || stabil || &lt;br&gt; |-</v>
      </c>
    </row>
    <row r="208" spans="1:14" ht="15.9" customHeight="1">
      <c r="A208" s="73">
        <v>42</v>
      </c>
      <c r="B208" s="81" t="s">
        <v>86</v>
      </c>
      <c r="C208" s="73">
        <v>98</v>
      </c>
      <c r="D208" s="73">
        <v>24.13</v>
      </c>
      <c r="E208" t="s">
        <v>1175</v>
      </c>
      <c r="G208" t="str">
        <f t="shared" si="12"/>
        <v>[http://atom.kaeri.re.kr/cgi-bin/nuclide?nuc=Mo-98 &lt;sub&gt;98&lt;/sub&gt;Mo]</v>
      </c>
      <c r="H208" t="str">
        <f t="shared" si="13"/>
        <v>24,13 % || stabil</v>
      </c>
      <c r="I208" t="str">
        <f t="shared" si="14"/>
        <v xml:space="preserve"> | [http://atom.kaeri.re.kr/cgi-bin/nuclide?nuc=Mo-98 &lt;sub&gt;98&lt;/sub&gt;Mo] || 24,13 % || stabil || </v>
      </c>
      <c r="N208" t="str">
        <f t="shared" si="15"/>
        <v xml:space="preserve"> | [http://atom.kaeri.re.kr/cgi-bin/nuclide?nuc=Mo-98 &lt;sub&gt;98&lt;/sub&gt;Mo] || 24,13 % || stabil || &lt;br&gt; |-</v>
      </c>
    </row>
    <row r="209" spans="1:14" ht="15.9" customHeight="1">
      <c r="A209" s="73">
        <v>42</v>
      </c>
      <c r="B209" s="81" t="s">
        <v>86</v>
      </c>
      <c r="C209" s="73">
        <v>100</v>
      </c>
      <c r="D209" s="73">
        <v>9.6300000000000008</v>
      </c>
      <c r="E209" t="s">
        <v>1175</v>
      </c>
      <c r="G209" t="str">
        <f t="shared" si="12"/>
        <v>[http://atom.kaeri.re.kr/cgi-bin/nuclide?nuc=Mo-100 &lt;sub&gt;100&lt;/sub&gt;Mo]</v>
      </c>
      <c r="H209" t="str">
        <f t="shared" si="13"/>
        <v>9,63 % || stabil</v>
      </c>
      <c r="I209" t="str">
        <f t="shared" si="14"/>
        <v xml:space="preserve"> | [http://atom.kaeri.re.kr/cgi-bin/nuclide?nuc=Mo-100 &lt;sub&gt;100&lt;/sub&gt;Mo] || 9,63 % || stabil || </v>
      </c>
      <c r="N209" t="str">
        <f t="shared" si="15"/>
        <v xml:space="preserve"> | [http://atom.kaeri.re.kr/cgi-bin/nuclide?nuc=Mo-100 &lt;sub&gt;100&lt;/sub&gt;Mo] || 9,63 % || stabil || &lt;br&gt; |-</v>
      </c>
    </row>
    <row r="210" spans="1:14" ht="15.9" customHeight="1">
      <c r="A210">
        <v>42</v>
      </c>
      <c r="B210" s="83" t="s">
        <v>86</v>
      </c>
      <c r="C210">
        <v>999</v>
      </c>
      <c r="D210" t="s">
        <v>87</v>
      </c>
      <c r="E210" t="s">
        <v>1175</v>
      </c>
      <c r="N210" t="str">
        <f>CONCATENATE(" |}&lt;br&gt;* [http://atom.kaeri.re.kr/cgi-bin/nuclide?nuc=",B210," alle bekannten ",D210,"-Isotope]")</f>
        <v xml:space="preserve"> |}&lt;br&gt;* [http://atom.kaeri.re.kr/cgi-bin/nuclide?nuc=Mo alle bekannten Molybdän-Isotope]</v>
      </c>
    </row>
    <row r="211" spans="1:14" ht="15.9" customHeight="1">
      <c r="A211">
        <v>43</v>
      </c>
      <c r="B211" s="83" t="s">
        <v>89</v>
      </c>
      <c r="C211" s="73">
        <v>0</v>
      </c>
      <c r="D211" t="s">
        <v>90</v>
      </c>
      <c r="E211" t="s">
        <v>1175</v>
      </c>
      <c r="N211" t="str">
        <f>CONCATENATE("=== [[",D211,"]] ===&lt;br&gt;{| {{tabelle}}&lt;br&gt;! Isotop !! ",$D$1," !! [[",$E$1,"]] !! ",$F$1," &lt;br&gt; |-")</f>
        <v>=== [[Technetium]] ===&lt;br&gt;{| {{tabelle}}&lt;br&gt;! Isotop !! natürliche Häufigkeit !! [[Halbwertszeit]] !! Herkunft, techn. Bedeutung &lt;br&gt; |-</v>
      </c>
    </row>
    <row r="212" spans="1:14" ht="15.9" customHeight="1">
      <c r="A212">
        <v>43</v>
      </c>
      <c r="B212" s="82" t="s">
        <v>89</v>
      </c>
      <c r="C212" s="79">
        <v>98</v>
      </c>
      <c r="D212" t="s">
        <v>1068</v>
      </c>
      <c r="E212" t="s">
        <v>1181</v>
      </c>
      <c r="F212" t="s">
        <v>1177</v>
      </c>
      <c r="G212" t="str">
        <f>CONCATENATE("[","http://atom.kaeri.re.kr/cgi-bin/nuclide?nuc=",B212,"-",C212," &lt;sub&gt;",C212,"&lt;/sub&gt;",B212,"]")</f>
        <v>[http://atom.kaeri.re.kr/cgi-bin/nuclide?nuc=Tc-98 &lt;sub&gt;98&lt;/sub&gt;Tc]</v>
      </c>
      <c r="H212" t="str">
        <f>CONCATENATE(D212," % || ",E212)</f>
        <v>- % || 6,6 Millionen Jahre</v>
      </c>
      <c r="I212" t="str">
        <f>CONCATENATE(" | ",G212," || ",H212," || ",F212)</f>
        <v xml:space="preserve"> | [http://atom.kaeri.re.kr/cgi-bin/nuclide?nuc=Tc-98 &lt;sub&gt;98&lt;/sub&gt;Tc] || - % || 6,6 Millionen Jahre || [[radioaktiv]]</v>
      </c>
      <c r="N212" t="str">
        <f>CONCATENATE(I212,"&lt;br&gt;"," |-")</f>
        <v xml:space="preserve"> | [http://atom.kaeri.re.kr/cgi-bin/nuclide?nuc=Tc-98 &lt;sub&gt;98&lt;/sub&gt;Tc] || - % || 6,6 Millionen Jahre || [[radioaktiv]]&lt;br&gt; |-</v>
      </c>
    </row>
    <row r="213" spans="1:14" s="78" customFormat="1" ht="15.9" customHeight="1">
      <c r="A213">
        <v>43</v>
      </c>
      <c r="B213" s="82" t="s">
        <v>89</v>
      </c>
      <c r="C213" s="79" t="s">
        <v>1183</v>
      </c>
      <c r="D213" s="78" t="s">
        <v>1068</v>
      </c>
      <c r="E213" t="s">
        <v>1145</v>
      </c>
      <c r="F213" t="s">
        <v>1182</v>
      </c>
      <c r="G213" t="str">
        <f>CONCATENATE("[","http://atom.kaeri.re.kr/cgi-bin/nuclide?nuc=",B213,"-",C213," &lt;sub&gt;",C213,"&lt;/sub&gt;",B213,"]")</f>
        <v>[http://atom.kaeri.re.kr/cgi-bin/nuclide?nuc=Tc-99m &lt;sub&gt;99m&lt;/sub&gt;Tc]</v>
      </c>
      <c r="H213" t="str">
        <f>CONCATENATE(D213," % || ",E213)</f>
        <v>- % || 6,0 Stunden</v>
      </c>
      <c r="I213" t="str">
        <f>CONCATENATE(" | ",G213," || ",H213," || ",F213)</f>
        <v xml:space="preserve"> | [http://atom.kaeri.re.kr/cgi-bin/nuclide?nuc=Tc-99m &lt;sub&gt;99m&lt;/sub&gt;Tc] || - % || 6,0 Stunden || [[radioaktiv]], Nuklearmedizin</v>
      </c>
      <c r="N213" t="str">
        <f>CONCATENATE(I213,"&lt;br&gt;"," |-")</f>
        <v xml:space="preserve"> | [http://atom.kaeri.re.kr/cgi-bin/nuclide?nuc=Tc-99m &lt;sub&gt;99m&lt;/sub&gt;Tc] || - % || 6,0 Stunden || [[radioaktiv]], Nuklearmedizin&lt;br&gt; |-</v>
      </c>
    </row>
    <row r="214" spans="1:14" ht="15.9" customHeight="1">
      <c r="A214">
        <v>43</v>
      </c>
      <c r="B214" s="83" t="s">
        <v>89</v>
      </c>
      <c r="C214" t="s">
        <v>1188</v>
      </c>
      <c r="D214" t="s">
        <v>90</v>
      </c>
      <c r="E214" t="s">
        <v>1175</v>
      </c>
      <c r="N214" t="str">
        <f>CONCATENATE(" |}&lt;br&gt;* [http://atom.kaeri.re.kr/cgi-bin/nuclide?nuc=",B214," alle bekannten ",D214,"-Isotope]")</f>
        <v xml:space="preserve"> |}&lt;br&gt;* [http://atom.kaeri.re.kr/cgi-bin/nuclide?nuc=Tc alle bekannten Technetium-Isotope]</v>
      </c>
    </row>
    <row r="215" spans="1:14" ht="15.9" customHeight="1">
      <c r="A215">
        <v>44</v>
      </c>
      <c r="B215" s="83" t="s">
        <v>92</v>
      </c>
      <c r="C215" s="73">
        <v>0</v>
      </c>
      <c r="D215" t="s">
        <v>93</v>
      </c>
      <c r="E215" t="s">
        <v>1175</v>
      </c>
      <c r="N215" t="str">
        <f>CONCATENATE("=== [[",D215,"]] ===&lt;br&gt;{| {{tabelle}}&lt;br&gt;! Isotop !! ",$D$1," !! [[",$E$1,"]] !! ",$F$1," &lt;br&gt; |-")</f>
        <v>=== [[Ruthenium]] ===&lt;br&gt;{| {{tabelle}}&lt;br&gt;! Isotop !! natürliche Häufigkeit !! [[Halbwertszeit]] !! Herkunft, techn. Bedeutung &lt;br&gt; |-</v>
      </c>
    </row>
    <row r="216" spans="1:14" ht="15.9" customHeight="1">
      <c r="A216" s="73">
        <v>44</v>
      </c>
      <c r="B216" s="81" t="s">
        <v>92</v>
      </c>
      <c r="C216" s="73">
        <v>96</v>
      </c>
      <c r="D216" s="73">
        <v>5.54</v>
      </c>
      <c r="E216" t="s">
        <v>1175</v>
      </c>
      <c r="G216" t="str">
        <f t="shared" ref="G216:G222" si="16">CONCATENATE("[","http://atom.kaeri.re.kr/cgi-bin/nuclide?nuc=",B216,"-",C216," &lt;sub&gt;",C216,"&lt;/sub&gt;",B216,"]")</f>
        <v>[http://atom.kaeri.re.kr/cgi-bin/nuclide?nuc=Ru-96 &lt;sub&gt;96&lt;/sub&gt;Ru]</v>
      </c>
      <c r="H216" t="str">
        <f t="shared" ref="H216:H222" si="17">CONCATENATE(D216," % || ",E216)</f>
        <v>5,54 % || stabil</v>
      </c>
      <c r="I216" t="str">
        <f t="shared" ref="I216:I222" si="18">CONCATENATE(" | ",G216," || ",H216," || ",F216)</f>
        <v xml:space="preserve"> | [http://atom.kaeri.re.kr/cgi-bin/nuclide?nuc=Ru-96 &lt;sub&gt;96&lt;/sub&gt;Ru] || 5,54 % || stabil || </v>
      </c>
      <c r="N216" t="str">
        <f t="shared" ref="N216:N222" si="19">CONCATENATE(I216,"&lt;br&gt;"," |-")</f>
        <v xml:space="preserve"> | [http://atom.kaeri.re.kr/cgi-bin/nuclide?nuc=Ru-96 &lt;sub&gt;96&lt;/sub&gt;Ru] || 5,54 % || stabil || &lt;br&gt; |-</v>
      </c>
    </row>
    <row r="217" spans="1:14" ht="15.9" customHeight="1">
      <c r="A217" s="73">
        <v>44</v>
      </c>
      <c r="B217" s="81" t="s">
        <v>92</v>
      </c>
      <c r="C217" s="73">
        <v>98</v>
      </c>
      <c r="D217" s="73">
        <v>1.87</v>
      </c>
      <c r="E217" t="s">
        <v>1175</v>
      </c>
      <c r="G217" t="str">
        <f t="shared" si="16"/>
        <v>[http://atom.kaeri.re.kr/cgi-bin/nuclide?nuc=Ru-98 &lt;sub&gt;98&lt;/sub&gt;Ru]</v>
      </c>
      <c r="H217" t="str">
        <f t="shared" si="17"/>
        <v>1,87 % || stabil</v>
      </c>
      <c r="I217" t="str">
        <f t="shared" si="18"/>
        <v xml:space="preserve"> | [http://atom.kaeri.re.kr/cgi-bin/nuclide?nuc=Ru-98 &lt;sub&gt;98&lt;/sub&gt;Ru] || 1,87 % || stabil || </v>
      </c>
      <c r="N217" t="str">
        <f t="shared" si="19"/>
        <v xml:space="preserve"> | [http://atom.kaeri.re.kr/cgi-bin/nuclide?nuc=Ru-98 &lt;sub&gt;98&lt;/sub&gt;Ru] || 1,87 % || stabil || &lt;br&gt; |-</v>
      </c>
    </row>
    <row r="218" spans="1:14" ht="15.9" customHeight="1">
      <c r="A218" s="73">
        <v>44</v>
      </c>
      <c r="B218" s="81" t="s">
        <v>92</v>
      </c>
      <c r="C218" s="73">
        <v>99</v>
      </c>
      <c r="D218" s="73">
        <v>12.76</v>
      </c>
      <c r="E218" t="s">
        <v>1175</v>
      </c>
      <c r="G218" t="str">
        <f t="shared" si="16"/>
        <v>[http://atom.kaeri.re.kr/cgi-bin/nuclide?nuc=Ru-99 &lt;sub&gt;99&lt;/sub&gt;Ru]</v>
      </c>
      <c r="H218" t="str">
        <f t="shared" si="17"/>
        <v>12,76 % || stabil</v>
      </c>
      <c r="I218" t="str">
        <f t="shared" si="18"/>
        <v xml:space="preserve"> | [http://atom.kaeri.re.kr/cgi-bin/nuclide?nuc=Ru-99 &lt;sub&gt;99&lt;/sub&gt;Ru] || 12,76 % || stabil || </v>
      </c>
      <c r="N218" t="str">
        <f t="shared" si="19"/>
        <v xml:space="preserve"> | [http://atom.kaeri.re.kr/cgi-bin/nuclide?nuc=Ru-99 &lt;sub&gt;99&lt;/sub&gt;Ru] || 12,76 % || stabil || &lt;br&gt; |-</v>
      </c>
    </row>
    <row r="219" spans="1:14" ht="15.9" customHeight="1">
      <c r="A219" s="73">
        <v>44</v>
      </c>
      <c r="B219" s="81" t="s">
        <v>92</v>
      </c>
      <c r="C219" s="73">
        <v>100</v>
      </c>
      <c r="D219" s="73">
        <v>12.6</v>
      </c>
      <c r="E219" t="s">
        <v>1175</v>
      </c>
      <c r="G219" t="str">
        <f t="shared" si="16"/>
        <v>[http://atom.kaeri.re.kr/cgi-bin/nuclide?nuc=Ru-100 &lt;sub&gt;100&lt;/sub&gt;Ru]</v>
      </c>
      <c r="H219" t="str">
        <f t="shared" si="17"/>
        <v>12,6 % || stabil</v>
      </c>
      <c r="I219" t="str">
        <f t="shared" si="18"/>
        <v xml:space="preserve"> | [http://atom.kaeri.re.kr/cgi-bin/nuclide?nuc=Ru-100 &lt;sub&gt;100&lt;/sub&gt;Ru] || 12,6 % || stabil || </v>
      </c>
      <c r="N219" t="str">
        <f t="shared" si="19"/>
        <v xml:space="preserve"> | [http://atom.kaeri.re.kr/cgi-bin/nuclide?nuc=Ru-100 &lt;sub&gt;100&lt;/sub&gt;Ru] || 12,6 % || stabil || &lt;br&gt; |-</v>
      </c>
    </row>
    <row r="220" spans="1:14" ht="15.9" customHeight="1">
      <c r="A220" s="73">
        <v>44</v>
      </c>
      <c r="B220" s="81" t="s">
        <v>92</v>
      </c>
      <c r="C220" s="73">
        <v>101</v>
      </c>
      <c r="D220" s="73">
        <v>17.059999999999999</v>
      </c>
      <c r="E220" t="s">
        <v>1175</v>
      </c>
      <c r="G220" t="str">
        <f t="shared" si="16"/>
        <v>[http://atom.kaeri.re.kr/cgi-bin/nuclide?nuc=Ru-101 &lt;sub&gt;101&lt;/sub&gt;Ru]</v>
      </c>
      <c r="H220" t="str">
        <f t="shared" si="17"/>
        <v>17,06 % || stabil</v>
      </c>
      <c r="I220" t="str">
        <f t="shared" si="18"/>
        <v xml:space="preserve"> | [http://atom.kaeri.re.kr/cgi-bin/nuclide?nuc=Ru-101 &lt;sub&gt;101&lt;/sub&gt;Ru] || 17,06 % || stabil || </v>
      </c>
      <c r="N220" t="str">
        <f t="shared" si="19"/>
        <v xml:space="preserve"> | [http://atom.kaeri.re.kr/cgi-bin/nuclide?nuc=Ru-101 &lt;sub&gt;101&lt;/sub&gt;Ru] || 17,06 % || stabil || &lt;br&gt; |-</v>
      </c>
    </row>
    <row r="221" spans="1:14" ht="15.9" customHeight="1">
      <c r="A221" s="73">
        <v>44</v>
      </c>
      <c r="B221" s="81" t="s">
        <v>92</v>
      </c>
      <c r="C221" s="73">
        <v>102</v>
      </c>
      <c r="D221" s="73">
        <v>31.55</v>
      </c>
      <c r="E221" t="s">
        <v>1175</v>
      </c>
      <c r="G221" t="str">
        <f t="shared" si="16"/>
        <v>[http://atom.kaeri.re.kr/cgi-bin/nuclide?nuc=Ru-102 &lt;sub&gt;102&lt;/sub&gt;Ru]</v>
      </c>
      <c r="H221" t="str">
        <f t="shared" si="17"/>
        <v>31,55 % || stabil</v>
      </c>
      <c r="I221" t="str">
        <f t="shared" si="18"/>
        <v xml:space="preserve"> | [http://atom.kaeri.re.kr/cgi-bin/nuclide?nuc=Ru-102 &lt;sub&gt;102&lt;/sub&gt;Ru] || 31,55 % || stabil || </v>
      </c>
      <c r="N221" t="str">
        <f t="shared" si="19"/>
        <v xml:space="preserve"> | [http://atom.kaeri.re.kr/cgi-bin/nuclide?nuc=Ru-102 &lt;sub&gt;102&lt;/sub&gt;Ru] || 31,55 % || stabil || &lt;br&gt; |-</v>
      </c>
    </row>
    <row r="222" spans="1:14" ht="15.9" customHeight="1">
      <c r="A222" s="73">
        <v>44</v>
      </c>
      <c r="B222" s="81" t="s">
        <v>92</v>
      </c>
      <c r="C222" s="73">
        <v>104</v>
      </c>
      <c r="D222" s="73">
        <v>18.62</v>
      </c>
      <c r="E222" t="s">
        <v>1175</v>
      </c>
      <c r="G222" t="str">
        <f t="shared" si="16"/>
        <v>[http://atom.kaeri.re.kr/cgi-bin/nuclide?nuc=Ru-104 &lt;sub&gt;104&lt;/sub&gt;Ru]</v>
      </c>
      <c r="H222" t="str">
        <f t="shared" si="17"/>
        <v>18,62 % || stabil</v>
      </c>
      <c r="I222" t="str">
        <f t="shared" si="18"/>
        <v xml:space="preserve"> | [http://atom.kaeri.re.kr/cgi-bin/nuclide?nuc=Ru-104 &lt;sub&gt;104&lt;/sub&gt;Ru] || 18,62 % || stabil || </v>
      </c>
      <c r="N222" t="str">
        <f t="shared" si="19"/>
        <v xml:space="preserve"> | [http://atom.kaeri.re.kr/cgi-bin/nuclide?nuc=Ru-104 &lt;sub&gt;104&lt;/sub&gt;Ru] || 18,62 % || stabil || &lt;br&gt; |-</v>
      </c>
    </row>
    <row r="223" spans="1:14" ht="15.9" customHeight="1">
      <c r="A223">
        <v>44</v>
      </c>
      <c r="B223" s="83" t="s">
        <v>92</v>
      </c>
      <c r="C223">
        <v>999</v>
      </c>
      <c r="D223" t="s">
        <v>93</v>
      </c>
      <c r="E223" t="s">
        <v>1175</v>
      </c>
      <c r="N223" t="str">
        <f>CONCATENATE(" |}&lt;br&gt;* [http://atom.kaeri.re.kr/cgi-bin/nuclide?nuc=",B223," alle bekannten ",D223,"-Isotope]")</f>
        <v xml:space="preserve"> |}&lt;br&gt;* [http://atom.kaeri.re.kr/cgi-bin/nuclide?nuc=Ru alle bekannten Ruthenium-Isotope]</v>
      </c>
    </row>
    <row r="224" spans="1:14" ht="15.9" customHeight="1">
      <c r="A224">
        <v>45</v>
      </c>
      <c r="B224" s="83" t="s">
        <v>96</v>
      </c>
      <c r="C224" s="73">
        <v>0</v>
      </c>
      <c r="D224" t="s">
        <v>97</v>
      </c>
      <c r="E224" t="s">
        <v>1175</v>
      </c>
      <c r="N224" t="str">
        <f>CONCATENATE("=== [[",D224,"]] ===&lt;br&gt;{| {{tabelle}}&lt;br&gt;! Isotop !! ",$D$1," !! [[",$E$1,"]] !! ",$F$1," &lt;br&gt; |-")</f>
        <v>=== [[Rhodium]] ===&lt;br&gt;{| {{tabelle}}&lt;br&gt;! Isotop !! natürliche Häufigkeit !! [[Halbwertszeit]] !! Herkunft, techn. Bedeutung &lt;br&gt; |-</v>
      </c>
    </row>
    <row r="225" spans="1:14" ht="15.9" customHeight="1">
      <c r="A225" s="73">
        <v>45</v>
      </c>
      <c r="B225" s="81" t="s">
        <v>96</v>
      </c>
      <c r="C225" s="73">
        <v>103</v>
      </c>
      <c r="D225" s="73">
        <v>100</v>
      </c>
      <c r="E225" t="s">
        <v>1175</v>
      </c>
      <c r="G225" t="str">
        <f>CONCATENATE("[","http://atom.kaeri.re.kr/cgi-bin/nuclide?nuc=",B225,"-",C225," &lt;sub&gt;",C225,"&lt;/sub&gt;",B225,"]")</f>
        <v>[http://atom.kaeri.re.kr/cgi-bin/nuclide?nuc=Rh-103 &lt;sub&gt;103&lt;/sub&gt;Rh]</v>
      </c>
      <c r="H225" t="str">
        <f>CONCATENATE(D225," % || ",E225)</f>
        <v>100 % || stabil</v>
      </c>
      <c r="I225" t="str">
        <f>CONCATENATE(" | ",G225," || ",H225," || ",F225)</f>
        <v xml:space="preserve"> | [http://atom.kaeri.re.kr/cgi-bin/nuclide?nuc=Rh-103 &lt;sub&gt;103&lt;/sub&gt;Rh] || 100 % || stabil || </v>
      </c>
      <c r="N225" t="str">
        <f>CONCATENATE(I225,"&lt;br&gt;"," |-")</f>
        <v xml:space="preserve"> | [http://atom.kaeri.re.kr/cgi-bin/nuclide?nuc=Rh-103 &lt;sub&gt;103&lt;/sub&gt;Rh] || 100 % || stabil || &lt;br&gt; |-</v>
      </c>
    </row>
    <row r="226" spans="1:14" ht="15.9" customHeight="1">
      <c r="A226">
        <v>45</v>
      </c>
      <c r="B226" s="83" t="s">
        <v>96</v>
      </c>
      <c r="C226">
        <v>999</v>
      </c>
      <c r="D226" t="s">
        <v>97</v>
      </c>
      <c r="E226" t="s">
        <v>1175</v>
      </c>
      <c r="N226" t="str">
        <f>CONCATENATE(" |}&lt;br&gt;* [http://atom.kaeri.re.kr/cgi-bin/nuclide?nuc=",B226," alle bekannten ",D226,"-Isotope]")</f>
        <v xml:space="preserve"> |}&lt;br&gt;* [http://atom.kaeri.re.kr/cgi-bin/nuclide?nuc=Rh alle bekannten Rhodium-Isotope]</v>
      </c>
    </row>
    <row r="227" spans="1:14" ht="15.9" customHeight="1">
      <c r="A227">
        <v>46</v>
      </c>
      <c r="B227" s="83" t="s">
        <v>99</v>
      </c>
      <c r="C227" s="73">
        <v>0</v>
      </c>
      <c r="D227" t="s">
        <v>100</v>
      </c>
      <c r="E227" t="s">
        <v>1175</v>
      </c>
      <c r="N227" t="str">
        <f>CONCATENATE("=== [[",D227,"]] ===&lt;br&gt;{| {{tabelle}}&lt;br&gt;! Isotop !! ",$D$1," !! [[",$E$1,"]] !! ",$F$1," &lt;br&gt; |-")</f>
        <v>=== [[Palladium]] ===&lt;br&gt;{| {{tabelle}}&lt;br&gt;! Isotop !! natürliche Häufigkeit !! [[Halbwertszeit]] !! Herkunft, techn. Bedeutung &lt;br&gt; |-</v>
      </c>
    </row>
    <row r="228" spans="1:14" ht="15.9" customHeight="1">
      <c r="A228" s="73">
        <v>46</v>
      </c>
      <c r="B228" s="81" t="s">
        <v>99</v>
      </c>
      <c r="C228" s="73">
        <v>102</v>
      </c>
      <c r="D228" s="73">
        <v>1.02</v>
      </c>
      <c r="E228" t="s">
        <v>1175</v>
      </c>
      <c r="G228" t="str">
        <f t="shared" ref="G228:G233" si="20">CONCATENATE("[","http://atom.kaeri.re.kr/cgi-bin/nuclide?nuc=",B228,"-",C228," &lt;sub&gt;",C228,"&lt;/sub&gt;",B228,"]")</f>
        <v>[http://atom.kaeri.re.kr/cgi-bin/nuclide?nuc=Pd-102 &lt;sub&gt;102&lt;/sub&gt;Pd]</v>
      </c>
      <c r="H228" t="str">
        <f t="shared" ref="H228:H233" si="21">CONCATENATE(D228," % || ",E228)</f>
        <v>1,02 % || stabil</v>
      </c>
      <c r="I228" t="str">
        <f t="shared" ref="I228:I233" si="22">CONCATENATE(" | ",G228," || ",H228," || ",F228)</f>
        <v xml:space="preserve"> | [http://atom.kaeri.re.kr/cgi-bin/nuclide?nuc=Pd-102 &lt;sub&gt;102&lt;/sub&gt;Pd] || 1,02 % || stabil || </v>
      </c>
      <c r="N228" t="str">
        <f t="shared" ref="N228:N233" si="23">CONCATENATE(I228,"&lt;br&gt;"," |-")</f>
        <v xml:space="preserve"> | [http://atom.kaeri.re.kr/cgi-bin/nuclide?nuc=Pd-102 &lt;sub&gt;102&lt;/sub&gt;Pd] || 1,02 % || stabil || &lt;br&gt; |-</v>
      </c>
    </row>
    <row r="229" spans="1:14" ht="15.9" customHeight="1">
      <c r="A229" s="73">
        <v>46</v>
      </c>
      <c r="B229" s="81" t="s">
        <v>99</v>
      </c>
      <c r="C229" s="73">
        <v>104</v>
      </c>
      <c r="D229" s="73">
        <v>11.14</v>
      </c>
      <c r="E229" t="s">
        <v>1175</v>
      </c>
      <c r="G229" t="str">
        <f t="shared" si="20"/>
        <v>[http://atom.kaeri.re.kr/cgi-bin/nuclide?nuc=Pd-104 &lt;sub&gt;104&lt;/sub&gt;Pd]</v>
      </c>
      <c r="H229" t="str">
        <f t="shared" si="21"/>
        <v>11,14 % || stabil</v>
      </c>
      <c r="I229" t="str">
        <f t="shared" si="22"/>
        <v xml:space="preserve"> | [http://atom.kaeri.re.kr/cgi-bin/nuclide?nuc=Pd-104 &lt;sub&gt;104&lt;/sub&gt;Pd] || 11,14 % || stabil || </v>
      </c>
      <c r="N229" t="str">
        <f t="shared" si="23"/>
        <v xml:space="preserve"> | [http://atom.kaeri.re.kr/cgi-bin/nuclide?nuc=Pd-104 &lt;sub&gt;104&lt;/sub&gt;Pd] || 11,14 % || stabil || &lt;br&gt; |-</v>
      </c>
    </row>
    <row r="230" spans="1:14" ht="15.9" customHeight="1">
      <c r="A230" s="73">
        <v>46</v>
      </c>
      <c r="B230" s="81" t="s">
        <v>99</v>
      </c>
      <c r="C230" s="73">
        <v>105</v>
      </c>
      <c r="D230" s="73">
        <v>22.33</v>
      </c>
      <c r="E230" t="s">
        <v>1175</v>
      </c>
      <c r="G230" t="str">
        <f t="shared" si="20"/>
        <v>[http://atom.kaeri.re.kr/cgi-bin/nuclide?nuc=Pd-105 &lt;sub&gt;105&lt;/sub&gt;Pd]</v>
      </c>
      <c r="H230" t="str">
        <f t="shared" si="21"/>
        <v>22,33 % || stabil</v>
      </c>
      <c r="I230" t="str">
        <f t="shared" si="22"/>
        <v xml:space="preserve"> | [http://atom.kaeri.re.kr/cgi-bin/nuclide?nuc=Pd-105 &lt;sub&gt;105&lt;/sub&gt;Pd] || 22,33 % || stabil || </v>
      </c>
      <c r="N230" t="str">
        <f t="shared" si="23"/>
        <v xml:space="preserve"> | [http://atom.kaeri.re.kr/cgi-bin/nuclide?nuc=Pd-105 &lt;sub&gt;105&lt;/sub&gt;Pd] || 22,33 % || stabil || &lt;br&gt; |-</v>
      </c>
    </row>
    <row r="231" spans="1:14" ht="15.9" customHeight="1">
      <c r="A231" s="73">
        <v>46</v>
      </c>
      <c r="B231" s="81" t="s">
        <v>99</v>
      </c>
      <c r="C231" s="73">
        <v>106</v>
      </c>
      <c r="D231" s="73">
        <v>27.33</v>
      </c>
      <c r="E231" t="s">
        <v>1175</v>
      </c>
      <c r="G231" t="str">
        <f t="shared" si="20"/>
        <v>[http://atom.kaeri.re.kr/cgi-bin/nuclide?nuc=Pd-106 &lt;sub&gt;106&lt;/sub&gt;Pd]</v>
      </c>
      <c r="H231" t="str">
        <f t="shared" si="21"/>
        <v>27,33 % || stabil</v>
      </c>
      <c r="I231" t="str">
        <f t="shared" si="22"/>
        <v xml:space="preserve"> | [http://atom.kaeri.re.kr/cgi-bin/nuclide?nuc=Pd-106 &lt;sub&gt;106&lt;/sub&gt;Pd] || 27,33 % || stabil || </v>
      </c>
      <c r="N231" t="str">
        <f t="shared" si="23"/>
        <v xml:space="preserve"> | [http://atom.kaeri.re.kr/cgi-bin/nuclide?nuc=Pd-106 &lt;sub&gt;106&lt;/sub&gt;Pd] || 27,33 % || stabil || &lt;br&gt; |-</v>
      </c>
    </row>
    <row r="232" spans="1:14" ht="15.9" customHeight="1">
      <c r="A232" s="73">
        <v>46</v>
      </c>
      <c r="B232" s="81" t="s">
        <v>99</v>
      </c>
      <c r="C232" s="73">
        <v>108</v>
      </c>
      <c r="D232" s="73">
        <v>26.46</v>
      </c>
      <c r="E232" t="s">
        <v>1175</v>
      </c>
      <c r="G232" t="str">
        <f t="shared" si="20"/>
        <v>[http://atom.kaeri.re.kr/cgi-bin/nuclide?nuc=Pd-108 &lt;sub&gt;108&lt;/sub&gt;Pd]</v>
      </c>
      <c r="H232" t="str">
        <f t="shared" si="21"/>
        <v>26,46 % || stabil</v>
      </c>
      <c r="I232" t="str">
        <f t="shared" si="22"/>
        <v xml:space="preserve"> | [http://atom.kaeri.re.kr/cgi-bin/nuclide?nuc=Pd-108 &lt;sub&gt;108&lt;/sub&gt;Pd] || 26,46 % || stabil || </v>
      </c>
      <c r="N232" t="str">
        <f t="shared" si="23"/>
        <v xml:space="preserve"> | [http://atom.kaeri.re.kr/cgi-bin/nuclide?nuc=Pd-108 &lt;sub&gt;108&lt;/sub&gt;Pd] || 26,46 % || stabil || &lt;br&gt; |-</v>
      </c>
    </row>
    <row r="233" spans="1:14" ht="15.9" customHeight="1">
      <c r="A233" s="73">
        <v>46</v>
      </c>
      <c r="B233" s="81" t="s">
        <v>99</v>
      </c>
      <c r="C233" s="73">
        <v>110</v>
      </c>
      <c r="D233" s="73">
        <v>11.72</v>
      </c>
      <c r="E233" t="s">
        <v>1175</v>
      </c>
      <c r="G233" t="str">
        <f t="shared" si="20"/>
        <v>[http://atom.kaeri.re.kr/cgi-bin/nuclide?nuc=Pd-110 &lt;sub&gt;110&lt;/sub&gt;Pd]</v>
      </c>
      <c r="H233" t="str">
        <f t="shared" si="21"/>
        <v>11,72 % || stabil</v>
      </c>
      <c r="I233" t="str">
        <f t="shared" si="22"/>
        <v xml:space="preserve"> | [http://atom.kaeri.re.kr/cgi-bin/nuclide?nuc=Pd-110 &lt;sub&gt;110&lt;/sub&gt;Pd] || 11,72 % || stabil || </v>
      </c>
      <c r="N233" t="str">
        <f t="shared" si="23"/>
        <v xml:space="preserve"> | [http://atom.kaeri.re.kr/cgi-bin/nuclide?nuc=Pd-110 &lt;sub&gt;110&lt;/sub&gt;Pd] || 11,72 % || stabil || &lt;br&gt; |-</v>
      </c>
    </row>
    <row r="234" spans="1:14" ht="15.9" customHeight="1">
      <c r="A234">
        <v>46</v>
      </c>
      <c r="B234" s="83" t="s">
        <v>99</v>
      </c>
      <c r="C234">
        <v>999</v>
      </c>
      <c r="D234" t="s">
        <v>100</v>
      </c>
      <c r="E234" t="s">
        <v>1175</v>
      </c>
      <c r="N234" t="str">
        <f>CONCATENATE(" |}&lt;br&gt;* [http://atom.kaeri.re.kr/cgi-bin/nuclide?nuc=",B234," alle bekannten ",D234,"-Isotope]")</f>
        <v xml:space="preserve"> |}&lt;br&gt;* [http://atom.kaeri.re.kr/cgi-bin/nuclide?nuc=Pd alle bekannten Palladium-Isotope]</v>
      </c>
    </row>
    <row r="235" spans="1:14" ht="15.9" customHeight="1">
      <c r="A235">
        <v>47</v>
      </c>
      <c r="B235" s="83" t="s">
        <v>102</v>
      </c>
      <c r="C235" s="73">
        <v>0</v>
      </c>
      <c r="D235" t="s">
        <v>103</v>
      </c>
      <c r="E235" t="s">
        <v>1175</v>
      </c>
      <c r="N235" t="str">
        <f>CONCATENATE("=== [[",D235,"]] ===&lt;br&gt;{| {{tabelle}}&lt;br&gt;! Isotop !! ",$D$1," !! [[",$E$1,"]] !! ",$F$1," &lt;br&gt; |-")</f>
        <v>=== [[Silber]] ===&lt;br&gt;{| {{tabelle}}&lt;br&gt;! Isotop !! natürliche Häufigkeit !! [[Halbwertszeit]] !! Herkunft, techn. Bedeutung &lt;br&gt; |-</v>
      </c>
    </row>
    <row r="236" spans="1:14" ht="15.9" customHeight="1">
      <c r="A236" s="73">
        <v>47</v>
      </c>
      <c r="B236" s="81" t="s">
        <v>102</v>
      </c>
      <c r="C236" s="73">
        <v>107</v>
      </c>
      <c r="D236" s="73">
        <v>51.838999999999999</v>
      </c>
      <c r="E236" t="s">
        <v>1175</v>
      </c>
      <c r="G236" t="str">
        <f>CONCATENATE("[","http://atom.kaeri.re.kr/cgi-bin/nuclide?nuc=",B236,"-",C236," &lt;sub&gt;",C236,"&lt;/sub&gt;",B236,"]")</f>
        <v>[http://atom.kaeri.re.kr/cgi-bin/nuclide?nuc=Ag-107 &lt;sub&gt;107&lt;/sub&gt;Ag]</v>
      </c>
      <c r="H236" t="str">
        <f>CONCATENATE(D236," % || ",E236)</f>
        <v>51,839 % || stabil</v>
      </c>
      <c r="I236" t="str">
        <f>CONCATENATE(" | ",G236," || ",H236," || ",F236)</f>
        <v xml:space="preserve"> | [http://atom.kaeri.re.kr/cgi-bin/nuclide?nuc=Ag-107 &lt;sub&gt;107&lt;/sub&gt;Ag] || 51,839 % || stabil || </v>
      </c>
      <c r="N236" t="str">
        <f>CONCATENATE(I236,"&lt;br&gt;"," |-")</f>
        <v xml:space="preserve"> | [http://atom.kaeri.re.kr/cgi-bin/nuclide?nuc=Ag-107 &lt;sub&gt;107&lt;/sub&gt;Ag] || 51,839 % || stabil || &lt;br&gt; |-</v>
      </c>
    </row>
    <row r="237" spans="1:14" ht="15.9" customHeight="1">
      <c r="A237" s="73">
        <v>47</v>
      </c>
      <c r="B237" s="81" t="s">
        <v>102</v>
      </c>
      <c r="C237" s="73">
        <v>109</v>
      </c>
      <c r="D237" s="73">
        <v>48.161000000000001</v>
      </c>
      <c r="E237" t="s">
        <v>1175</v>
      </c>
      <c r="G237" t="str">
        <f>CONCATENATE("[","http://atom.kaeri.re.kr/cgi-bin/nuclide?nuc=",B237,"-",C237," &lt;sub&gt;",C237,"&lt;/sub&gt;",B237,"]")</f>
        <v>[http://atom.kaeri.re.kr/cgi-bin/nuclide?nuc=Ag-109 &lt;sub&gt;109&lt;/sub&gt;Ag]</v>
      </c>
      <c r="H237" t="str">
        <f>CONCATENATE(D237," % || ",E237)</f>
        <v>48,161 % || stabil</v>
      </c>
      <c r="I237" t="str">
        <f>CONCATENATE(" | ",G237," || ",H237," || ",F237)</f>
        <v xml:space="preserve"> | [http://atom.kaeri.re.kr/cgi-bin/nuclide?nuc=Ag-109 &lt;sub&gt;109&lt;/sub&gt;Ag] || 48,161 % || stabil || </v>
      </c>
      <c r="N237" t="str">
        <f>CONCATENATE(I237,"&lt;br&gt;"," |-")</f>
        <v xml:space="preserve"> | [http://atom.kaeri.re.kr/cgi-bin/nuclide?nuc=Ag-109 &lt;sub&gt;109&lt;/sub&gt;Ag] || 48,161 % || stabil || &lt;br&gt; |-</v>
      </c>
    </row>
    <row r="238" spans="1:14" ht="15.9" customHeight="1">
      <c r="A238">
        <v>47</v>
      </c>
      <c r="B238" s="83" t="s">
        <v>102</v>
      </c>
      <c r="C238">
        <v>999</v>
      </c>
      <c r="D238" t="s">
        <v>103</v>
      </c>
      <c r="E238" t="s">
        <v>1175</v>
      </c>
      <c r="N238" t="str">
        <f>CONCATENATE(" |}&lt;br&gt;* [http://atom.kaeri.re.kr/cgi-bin/nuclide?nuc=",B238," alle bekannten ",D238,"-Isotope]")</f>
        <v xml:space="preserve"> |}&lt;br&gt;* [http://atom.kaeri.re.kr/cgi-bin/nuclide?nuc=Ag alle bekannten Silber-Isotope]</v>
      </c>
    </row>
    <row r="239" spans="1:14" ht="15.9" customHeight="1">
      <c r="A239">
        <v>48</v>
      </c>
      <c r="B239" s="83" t="s">
        <v>105</v>
      </c>
      <c r="C239" s="73">
        <v>0</v>
      </c>
      <c r="D239" t="s">
        <v>106</v>
      </c>
      <c r="E239" t="s">
        <v>1175</v>
      </c>
      <c r="N239" t="str">
        <f>CONCATENATE("=== [[",D239,"]] ===&lt;br&gt;{| {{tabelle}}&lt;br&gt;! Isotop !! ",$D$1," !! [[",$E$1,"]] !! ",$F$1," &lt;br&gt; |-")</f>
        <v>=== [[Cadmium]] ===&lt;br&gt;{| {{tabelle}}&lt;br&gt;! Isotop !! natürliche Häufigkeit !! [[Halbwertszeit]] !! Herkunft, techn. Bedeutung &lt;br&gt; |-</v>
      </c>
    </row>
    <row r="240" spans="1:14" ht="15.9" customHeight="1">
      <c r="A240" s="73">
        <v>48</v>
      </c>
      <c r="B240" s="81" t="s">
        <v>105</v>
      </c>
      <c r="C240" s="73">
        <v>106</v>
      </c>
      <c r="D240" s="73">
        <v>1.25</v>
      </c>
      <c r="E240" t="s">
        <v>1175</v>
      </c>
      <c r="G240" t="str">
        <f t="shared" ref="G240:G247" si="24">CONCATENATE("[","http://atom.kaeri.re.kr/cgi-bin/nuclide?nuc=",B240,"-",C240," &lt;sub&gt;",C240,"&lt;/sub&gt;",B240,"]")</f>
        <v>[http://atom.kaeri.re.kr/cgi-bin/nuclide?nuc=Cd-106 &lt;sub&gt;106&lt;/sub&gt;Cd]</v>
      </c>
      <c r="H240" t="str">
        <f t="shared" ref="H240:H247" si="25">CONCATENATE(D240," % || ",E240)</f>
        <v>1,25 % || stabil</v>
      </c>
      <c r="I240" t="str">
        <f t="shared" ref="I240:I247" si="26">CONCATENATE(" | ",G240," || ",H240," || ",F240)</f>
        <v xml:space="preserve"> | [http://atom.kaeri.re.kr/cgi-bin/nuclide?nuc=Cd-106 &lt;sub&gt;106&lt;/sub&gt;Cd] || 1,25 % || stabil || </v>
      </c>
      <c r="N240" t="str">
        <f t="shared" ref="N240:N247" si="27">CONCATENATE(I240,"&lt;br&gt;"," |-")</f>
        <v xml:space="preserve"> | [http://atom.kaeri.re.kr/cgi-bin/nuclide?nuc=Cd-106 &lt;sub&gt;106&lt;/sub&gt;Cd] || 1,25 % || stabil || &lt;br&gt; |-</v>
      </c>
    </row>
    <row r="241" spans="1:14" ht="15.9" customHeight="1">
      <c r="A241" s="73">
        <v>48</v>
      </c>
      <c r="B241" s="81" t="s">
        <v>105</v>
      </c>
      <c r="C241" s="73">
        <v>108</v>
      </c>
      <c r="D241" s="73">
        <v>0.89</v>
      </c>
      <c r="E241" t="s">
        <v>1175</v>
      </c>
      <c r="G241" t="str">
        <f t="shared" si="24"/>
        <v>[http://atom.kaeri.re.kr/cgi-bin/nuclide?nuc=Cd-108 &lt;sub&gt;108&lt;/sub&gt;Cd]</v>
      </c>
      <c r="H241" t="str">
        <f t="shared" si="25"/>
        <v>0,89 % || stabil</v>
      </c>
      <c r="I241" t="str">
        <f t="shared" si="26"/>
        <v xml:space="preserve"> | [http://atom.kaeri.re.kr/cgi-bin/nuclide?nuc=Cd-108 &lt;sub&gt;108&lt;/sub&gt;Cd] || 0,89 % || stabil || </v>
      </c>
      <c r="N241" t="str">
        <f t="shared" si="27"/>
        <v xml:space="preserve"> | [http://atom.kaeri.re.kr/cgi-bin/nuclide?nuc=Cd-108 &lt;sub&gt;108&lt;/sub&gt;Cd] || 0,89 % || stabil || &lt;br&gt; |-</v>
      </c>
    </row>
    <row r="242" spans="1:14" ht="15.9" customHeight="1">
      <c r="A242" s="73">
        <v>48</v>
      </c>
      <c r="B242" s="81" t="s">
        <v>105</v>
      </c>
      <c r="C242" s="73">
        <v>110</v>
      </c>
      <c r="D242" s="73">
        <v>12.49</v>
      </c>
      <c r="E242" t="s">
        <v>1175</v>
      </c>
      <c r="G242" t="str">
        <f t="shared" si="24"/>
        <v>[http://atom.kaeri.re.kr/cgi-bin/nuclide?nuc=Cd-110 &lt;sub&gt;110&lt;/sub&gt;Cd]</v>
      </c>
      <c r="H242" t="str">
        <f t="shared" si="25"/>
        <v>12,49 % || stabil</v>
      </c>
      <c r="I242" t="str">
        <f t="shared" si="26"/>
        <v xml:space="preserve"> | [http://atom.kaeri.re.kr/cgi-bin/nuclide?nuc=Cd-110 &lt;sub&gt;110&lt;/sub&gt;Cd] || 12,49 % || stabil || </v>
      </c>
      <c r="N242" t="str">
        <f t="shared" si="27"/>
        <v xml:space="preserve"> | [http://atom.kaeri.re.kr/cgi-bin/nuclide?nuc=Cd-110 &lt;sub&gt;110&lt;/sub&gt;Cd] || 12,49 % || stabil || &lt;br&gt; |-</v>
      </c>
    </row>
    <row r="243" spans="1:14" ht="15.9" customHeight="1">
      <c r="A243" s="73">
        <v>48</v>
      </c>
      <c r="B243" s="81" t="s">
        <v>105</v>
      </c>
      <c r="C243" s="73">
        <v>111</v>
      </c>
      <c r="D243" s="73">
        <v>12.8</v>
      </c>
      <c r="E243" t="s">
        <v>1175</v>
      </c>
      <c r="G243" t="str">
        <f t="shared" si="24"/>
        <v>[http://atom.kaeri.re.kr/cgi-bin/nuclide?nuc=Cd-111 &lt;sub&gt;111&lt;/sub&gt;Cd]</v>
      </c>
      <c r="H243" t="str">
        <f t="shared" si="25"/>
        <v>12,8 % || stabil</v>
      </c>
      <c r="I243" t="str">
        <f t="shared" si="26"/>
        <v xml:space="preserve"> | [http://atom.kaeri.re.kr/cgi-bin/nuclide?nuc=Cd-111 &lt;sub&gt;111&lt;/sub&gt;Cd] || 12,8 % || stabil || </v>
      </c>
      <c r="N243" t="str">
        <f t="shared" si="27"/>
        <v xml:space="preserve"> | [http://atom.kaeri.re.kr/cgi-bin/nuclide?nuc=Cd-111 &lt;sub&gt;111&lt;/sub&gt;Cd] || 12,8 % || stabil || &lt;br&gt; |-</v>
      </c>
    </row>
    <row r="244" spans="1:14" ht="15.9" customHeight="1">
      <c r="A244" s="73">
        <v>48</v>
      </c>
      <c r="B244" s="81" t="s">
        <v>105</v>
      </c>
      <c r="C244" s="73">
        <v>112</v>
      </c>
      <c r="D244" s="73">
        <v>24.13</v>
      </c>
      <c r="E244" t="s">
        <v>1175</v>
      </c>
      <c r="G244" t="str">
        <f t="shared" si="24"/>
        <v>[http://atom.kaeri.re.kr/cgi-bin/nuclide?nuc=Cd-112 &lt;sub&gt;112&lt;/sub&gt;Cd]</v>
      </c>
      <c r="H244" t="str">
        <f t="shared" si="25"/>
        <v>24,13 % || stabil</v>
      </c>
      <c r="I244" t="str">
        <f t="shared" si="26"/>
        <v xml:space="preserve"> | [http://atom.kaeri.re.kr/cgi-bin/nuclide?nuc=Cd-112 &lt;sub&gt;112&lt;/sub&gt;Cd] || 24,13 % || stabil || </v>
      </c>
      <c r="N244" t="str">
        <f t="shared" si="27"/>
        <v xml:space="preserve"> | [http://atom.kaeri.re.kr/cgi-bin/nuclide?nuc=Cd-112 &lt;sub&gt;112&lt;/sub&gt;Cd] || 24,13 % || stabil || &lt;br&gt; |-</v>
      </c>
    </row>
    <row r="245" spans="1:14" ht="15.9" customHeight="1">
      <c r="A245" s="73">
        <v>48</v>
      </c>
      <c r="B245" s="81" t="s">
        <v>105</v>
      </c>
      <c r="C245" s="73">
        <v>113</v>
      </c>
      <c r="D245" s="73">
        <v>12.22</v>
      </c>
      <c r="E245" t="s">
        <v>1175</v>
      </c>
      <c r="G245" t="str">
        <f t="shared" si="24"/>
        <v>[http://atom.kaeri.re.kr/cgi-bin/nuclide?nuc=Cd-113 &lt;sub&gt;113&lt;/sub&gt;Cd]</v>
      </c>
      <c r="H245" t="str">
        <f t="shared" si="25"/>
        <v>12,22 % || stabil</v>
      </c>
      <c r="I245" t="str">
        <f t="shared" si="26"/>
        <v xml:space="preserve"> | [http://atom.kaeri.re.kr/cgi-bin/nuclide?nuc=Cd-113 &lt;sub&gt;113&lt;/sub&gt;Cd] || 12,22 % || stabil || </v>
      </c>
      <c r="N245" t="str">
        <f t="shared" si="27"/>
        <v xml:space="preserve"> | [http://atom.kaeri.re.kr/cgi-bin/nuclide?nuc=Cd-113 &lt;sub&gt;113&lt;/sub&gt;Cd] || 12,22 % || stabil || &lt;br&gt; |-</v>
      </c>
    </row>
    <row r="246" spans="1:14" ht="15.9" customHeight="1">
      <c r="A246" s="73">
        <v>48</v>
      </c>
      <c r="B246" s="81" t="s">
        <v>105</v>
      </c>
      <c r="C246" s="73">
        <v>114</v>
      </c>
      <c r="D246" s="73">
        <v>28.73</v>
      </c>
      <c r="E246" t="s">
        <v>1175</v>
      </c>
      <c r="G246" t="str">
        <f t="shared" si="24"/>
        <v>[http://atom.kaeri.re.kr/cgi-bin/nuclide?nuc=Cd-114 &lt;sub&gt;114&lt;/sub&gt;Cd]</v>
      </c>
      <c r="H246" t="str">
        <f t="shared" si="25"/>
        <v>28,73 % || stabil</v>
      </c>
      <c r="I246" t="str">
        <f t="shared" si="26"/>
        <v xml:space="preserve"> | [http://atom.kaeri.re.kr/cgi-bin/nuclide?nuc=Cd-114 &lt;sub&gt;114&lt;/sub&gt;Cd] || 28,73 % || stabil || </v>
      </c>
      <c r="N246" t="str">
        <f t="shared" si="27"/>
        <v xml:space="preserve"> | [http://atom.kaeri.re.kr/cgi-bin/nuclide?nuc=Cd-114 &lt;sub&gt;114&lt;/sub&gt;Cd] || 28,73 % || stabil || &lt;br&gt; |-</v>
      </c>
    </row>
    <row r="247" spans="1:14" ht="15.9" customHeight="1">
      <c r="A247" s="73">
        <v>48</v>
      </c>
      <c r="B247" s="81" t="s">
        <v>105</v>
      </c>
      <c r="C247" s="73">
        <v>116</v>
      </c>
      <c r="D247" s="73">
        <v>7.49</v>
      </c>
      <c r="E247" t="s">
        <v>1175</v>
      </c>
      <c r="G247" t="str">
        <f t="shared" si="24"/>
        <v>[http://atom.kaeri.re.kr/cgi-bin/nuclide?nuc=Cd-116 &lt;sub&gt;116&lt;/sub&gt;Cd]</v>
      </c>
      <c r="H247" t="str">
        <f t="shared" si="25"/>
        <v>7,49 % || stabil</v>
      </c>
      <c r="I247" t="str">
        <f t="shared" si="26"/>
        <v xml:space="preserve"> | [http://atom.kaeri.re.kr/cgi-bin/nuclide?nuc=Cd-116 &lt;sub&gt;116&lt;/sub&gt;Cd] || 7,49 % || stabil || </v>
      </c>
      <c r="N247" t="str">
        <f t="shared" si="27"/>
        <v xml:space="preserve"> | [http://atom.kaeri.re.kr/cgi-bin/nuclide?nuc=Cd-116 &lt;sub&gt;116&lt;/sub&gt;Cd] || 7,49 % || stabil || &lt;br&gt; |-</v>
      </c>
    </row>
    <row r="248" spans="1:14" ht="15.9" customHeight="1">
      <c r="A248">
        <v>48</v>
      </c>
      <c r="B248" s="83" t="s">
        <v>105</v>
      </c>
      <c r="C248">
        <v>999</v>
      </c>
      <c r="D248" t="s">
        <v>106</v>
      </c>
      <c r="E248" t="s">
        <v>1175</v>
      </c>
      <c r="N248" t="str">
        <f>CONCATENATE(" |}&lt;br&gt;* [http://atom.kaeri.re.kr/cgi-bin/nuclide?nuc=",B248," alle bekannten ",D248,"-Isotope]")</f>
        <v xml:space="preserve"> |}&lt;br&gt;* [http://atom.kaeri.re.kr/cgi-bin/nuclide?nuc=Cd alle bekannten Cadmium-Isotope]</v>
      </c>
    </row>
    <row r="249" spans="1:14" ht="15.9" customHeight="1">
      <c r="A249">
        <v>49</v>
      </c>
      <c r="B249" s="83" t="s">
        <v>107</v>
      </c>
      <c r="C249" s="73">
        <v>0</v>
      </c>
      <c r="D249" t="s">
        <v>108</v>
      </c>
      <c r="E249" t="s">
        <v>1175</v>
      </c>
      <c r="N249" t="str">
        <f>CONCATENATE("=== [[",D249,"]] ===&lt;br&gt;{| {{tabelle}}&lt;br&gt;! Isotop !! ",$D$1," !! [[",$E$1,"]] !! ",$F$1," &lt;br&gt; |-")</f>
        <v>=== [[Indium]] ===&lt;br&gt;{| {{tabelle}}&lt;br&gt;! Isotop !! natürliche Häufigkeit !! [[Halbwertszeit]] !! Herkunft, techn. Bedeutung &lt;br&gt; |-</v>
      </c>
    </row>
    <row r="250" spans="1:14" ht="15.9" customHeight="1">
      <c r="A250" s="73">
        <v>49</v>
      </c>
      <c r="B250" s="81" t="s">
        <v>107</v>
      </c>
      <c r="C250" s="73">
        <v>113</v>
      </c>
      <c r="D250" s="73">
        <v>4.29</v>
      </c>
      <c r="E250" t="s">
        <v>1175</v>
      </c>
      <c r="G250" t="str">
        <f>CONCATENATE("[","http://atom.kaeri.re.kr/cgi-bin/nuclide?nuc=",B250,"-",C250," &lt;sub&gt;",C250,"&lt;/sub&gt;",B250,"]")</f>
        <v>[http://atom.kaeri.re.kr/cgi-bin/nuclide?nuc=In-113 &lt;sub&gt;113&lt;/sub&gt;In]</v>
      </c>
      <c r="H250" t="str">
        <f>CONCATENATE(D250," % || ",E250)</f>
        <v>4,29 % || stabil</v>
      </c>
      <c r="I250" t="str">
        <f>CONCATENATE(" | ",G250," || ",H250," || ",F250)</f>
        <v xml:space="preserve"> | [http://atom.kaeri.re.kr/cgi-bin/nuclide?nuc=In-113 &lt;sub&gt;113&lt;/sub&gt;In] || 4,29 % || stabil || </v>
      </c>
      <c r="N250" t="str">
        <f>CONCATENATE(I250,"&lt;br&gt;"," |-")</f>
        <v xml:space="preserve"> | [http://atom.kaeri.re.kr/cgi-bin/nuclide?nuc=In-113 &lt;sub&gt;113&lt;/sub&gt;In] || 4,29 % || stabil || &lt;br&gt; |-</v>
      </c>
    </row>
    <row r="251" spans="1:14" ht="15.9" customHeight="1">
      <c r="A251" s="73">
        <v>49</v>
      </c>
      <c r="B251" s="81" t="s">
        <v>107</v>
      </c>
      <c r="C251" s="73">
        <v>115</v>
      </c>
      <c r="D251" s="73">
        <v>95.71</v>
      </c>
      <c r="E251" t="s">
        <v>1175</v>
      </c>
      <c r="G251" t="str">
        <f>CONCATENATE("[","http://atom.kaeri.re.kr/cgi-bin/nuclide?nuc=",B251,"-",C251," &lt;sub&gt;",C251,"&lt;/sub&gt;",B251,"]")</f>
        <v>[http://atom.kaeri.re.kr/cgi-bin/nuclide?nuc=In-115 &lt;sub&gt;115&lt;/sub&gt;In]</v>
      </c>
      <c r="H251" t="str">
        <f>CONCATENATE(D251," % || ",E251)</f>
        <v>95,71 % || stabil</v>
      </c>
      <c r="I251" t="str">
        <f>CONCATENATE(" | ",G251," || ",H251," || ",F251)</f>
        <v xml:space="preserve"> | [http://atom.kaeri.re.kr/cgi-bin/nuclide?nuc=In-115 &lt;sub&gt;115&lt;/sub&gt;In] || 95,71 % || stabil || </v>
      </c>
      <c r="N251" t="str">
        <f>CONCATENATE(I251,"&lt;br&gt;"," |-")</f>
        <v xml:space="preserve"> | [http://atom.kaeri.re.kr/cgi-bin/nuclide?nuc=In-115 &lt;sub&gt;115&lt;/sub&gt;In] || 95,71 % || stabil || &lt;br&gt; |-</v>
      </c>
    </row>
    <row r="252" spans="1:14" ht="15.9" customHeight="1">
      <c r="A252">
        <v>49</v>
      </c>
      <c r="B252" s="83" t="s">
        <v>107</v>
      </c>
      <c r="C252">
        <v>999</v>
      </c>
      <c r="D252" t="s">
        <v>108</v>
      </c>
      <c r="E252" t="s">
        <v>1175</v>
      </c>
      <c r="N252" t="str">
        <f>CONCATENATE(" |}&lt;br&gt;* [http://atom.kaeri.re.kr/cgi-bin/nuclide?nuc=",B252," alle bekannten ",D252,"-Isotope]")</f>
        <v xml:space="preserve"> |}&lt;br&gt;* [http://atom.kaeri.re.kr/cgi-bin/nuclide?nuc=In alle bekannten Indium-Isotope]</v>
      </c>
    </row>
    <row r="253" spans="1:14" ht="15.9" customHeight="1">
      <c r="A253">
        <v>50</v>
      </c>
      <c r="B253" s="83" t="s">
        <v>111</v>
      </c>
      <c r="C253" s="73">
        <v>0</v>
      </c>
      <c r="D253" t="s">
        <v>112</v>
      </c>
      <c r="E253" t="s">
        <v>1175</v>
      </c>
      <c r="N253" t="str">
        <f>CONCATENATE("=== [[",D253,"]] ===&lt;br&gt;{| {{tabelle}}&lt;br&gt;! Isotop !! ",$D$1," !! [[",$E$1,"]] !! ",$F$1," &lt;br&gt; |-")</f>
        <v>=== [[Zinn]] ===&lt;br&gt;{| {{tabelle}}&lt;br&gt;! Isotop !! natürliche Häufigkeit !! [[Halbwertszeit]] !! Herkunft, techn. Bedeutung &lt;br&gt; |-</v>
      </c>
    </row>
    <row r="254" spans="1:14" ht="15.9" customHeight="1">
      <c r="A254" s="73">
        <v>50</v>
      </c>
      <c r="B254" s="81" t="s">
        <v>111</v>
      </c>
      <c r="C254" s="73">
        <v>112</v>
      </c>
      <c r="D254" s="73">
        <v>0.97</v>
      </c>
      <c r="E254" t="s">
        <v>1175</v>
      </c>
      <c r="G254" t="str">
        <f t="shared" ref="G254:G263" si="28">CONCATENATE("[","http://atom.kaeri.re.kr/cgi-bin/nuclide?nuc=",B254,"-",C254," &lt;sub&gt;",C254,"&lt;/sub&gt;",B254,"]")</f>
        <v>[http://atom.kaeri.re.kr/cgi-bin/nuclide?nuc=Sn-112 &lt;sub&gt;112&lt;/sub&gt;Sn]</v>
      </c>
      <c r="H254" t="str">
        <f t="shared" ref="H254:H263" si="29">CONCATENATE(D254," % || ",E254)</f>
        <v>0,97 % || stabil</v>
      </c>
      <c r="I254" t="str">
        <f t="shared" ref="I254:I263" si="30">CONCATENATE(" | ",G254," || ",H254," || ",F254)</f>
        <v xml:space="preserve"> | [http://atom.kaeri.re.kr/cgi-bin/nuclide?nuc=Sn-112 &lt;sub&gt;112&lt;/sub&gt;Sn] || 0,97 % || stabil || </v>
      </c>
      <c r="N254" t="str">
        <f t="shared" ref="N254:N263" si="31">CONCATENATE(I254,"&lt;br&gt;"," |-")</f>
        <v xml:space="preserve"> | [http://atom.kaeri.re.kr/cgi-bin/nuclide?nuc=Sn-112 &lt;sub&gt;112&lt;/sub&gt;Sn] || 0,97 % || stabil || &lt;br&gt; |-</v>
      </c>
    </row>
    <row r="255" spans="1:14" ht="15.9" customHeight="1">
      <c r="A255" s="73">
        <v>50</v>
      </c>
      <c r="B255" s="81" t="s">
        <v>111</v>
      </c>
      <c r="C255" s="73">
        <v>114</v>
      </c>
      <c r="D255" s="73">
        <v>0.66</v>
      </c>
      <c r="E255" t="s">
        <v>1175</v>
      </c>
      <c r="G255" t="str">
        <f t="shared" si="28"/>
        <v>[http://atom.kaeri.re.kr/cgi-bin/nuclide?nuc=Sn-114 &lt;sub&gt;114&lt;/sub&gt;Sn]</v>
      </c>
      <c r="H255" t="str">
        <f t="shared" si="29"/>
        <v>0,66 % || stabil</v>
      </c>
      <c r="I255" t="str">
        <f t="shared" si="30"/>
        <v xml:space="preserve"> | [http://atom.kaeri.re.kr/cgi-bin/nuclide?nuc=Sn-114 &lt;sub&gt;114&lt;/sub&gt;Sn] || 0,66 % || stabil || </v>
      </c>
      <c r="N255" t="str">
        <f t="shared" si="31"/>
        <v xml:space="preserve"> | [http://atom.kaeri.re.kr/cgi-bin/nuclide?nuc=Sn-114 &lt;sub&gt;114&lt;/sub&gt;Sn] || 0,66 % || stabil || &lt;br&gt; |-</v>
      </c>
    </row>
    <row r="256" spans="1:14" ht="15.9" customHeight="1">
      <c r="A256" s="73">
        <v>50</v>
      </c>
      <c r="B256" s="81" t="s">
        <v>111</v>
      </c>
      <c r="C256" s="73">
        <v>115</v>
      </c>
      <c r="D256" s="73">
        <v>0.34</v>
      </c>
      <c r="E256" t="s">
        <v>1175</v>
      </c>
      <c r="G256" t="str">
        <f t="shared" si="28"/>
        <v>[http://atom.kaeri.re.kr/cgi-bin/nuclide?nuc=Sn-115 &lt;sub&gt;115&lt;/sub&gt;Sn]</v>
      </c>
      <c r="H256" t="str">
        <f t="shared" si="29"/>
        <v>0,34 % || stabil</v>
      </c>
      <c r="I256" t="str">
        <f t="shared" si="30"/>
        <v xml:space="preserve"> | [http://atom.kaeri.re.kr/cgi-bin/nuclide?nuc=Sn-115 &lt;sub&gt;115&lt;/sub&gt;Sn] || 0,34 % || stabil || </v>
      </c>
      <c r="N256" t="str">
        <f t="shared" si="31"/>
        <v xml:space="preserve"> | [http://atom.kaeri.re.kr/cgi-bin/nuclide?nuc=Sn-115 &lt;sub&gt;115&lt;/sub&gt;Sn] || 0,34 % || stabil || &lt;br&gt; |-</v>
      </c>
    </row>
    <row r="257" spans="1:14" ht="15.9" customHeight="1">
      <c r="A257" s="73">
        <v>50</v>
      </c>
      <c r="B257" s="81" t="s">
        <v>111</v>
      </c>
      <c r="C257" s="73">
        <v>116</v>
      </c>
      <c r="D257" s="73">
        <v>14.54</v>
      </c>
      <c r="E257" t="s">
        <v>1175</v>
      </c>
      <c r="G257" t="str">
        <f t="shared" si="28"/>
        <v>[http://atom.kaeri.re.kr/cgi-bin/nuclide?nuc=Sn-116 &lt;sub&gt;116&lt;/sub&gt;Sn]</v>
      </c>
      <c r="H257" t="str">
        <f t="shared" si="29"/>
        <v>14,54 % || stabil</v>
      </c>
      <c r="I257" t="str">
        <f t="shared" si="30"/>
        <v xml:space="preserve"> | [http://atom.kaeri.re.kr/cgi-bin/nuclide?nuc=Sn-116 &lt;sub&gt;116&lt;/sub&gt;Sn] || 14,54 % || stabil || </v>
      </c>
      <c r="N257" t="str">
        <f t="shared" si="31"/>
        <v xml:space="preserve"> | [http://atom.kaeri.re.kr/cgi-bin/nuclide?nuc=Sn-116 &lt;sub&gt;116&lt;/sub&gt;Sn] || 14,54 % || stabil || &lt;br&gt; |-</v>
      </c>
    </row>
    <row r="258" spans="1:14" ht="15.9" customHeight="1">
      <c r="A258" s="73">
        <v>50</v>
      </c>
      <c r="B258" s="81" t="s">
        <v>111</v>
      </c>
      <c r="C258" s="73">
        <v>117</v>
      </c>
      <c r="D258" s="73">
        <v>7.68</v>
      </c>
      <c r="E258" t="s">
        <v>1175</v>
      </c>
      <c r="G258" t="str">
        <f t="shared" si="28"/>
        <v>[http://atom.kaeri.re.kr/cgi-bin/nuclide?nuc=Sn-117 &lt;sub&gt;117&lt;/sub&gt;Sn]</v>
      </c>
      <c r="H258" t="str">
        <f t="shared" si="29"/>
        <v>7,68 % || stabil</v>
      </c>
      <c r="I258" t="str">
        <f t="shared" si="30"/>
        <v xml:space="preserve"> | [http://atom.kaeri.re.kr/cgi-bin/nuclide?nuc=Sn-117 &lt;sub&gt;117&lt;/sub&gt;Sn] || 7,68 % || stabil || </v>
      </c>
      <c r="N258" t="str">
        <f t="shared" si="31"/>
        <v xml:space="preserve"> | [http://atom.kaeri.re.kr/cgi-bin/nuclide?nuc=Sn-117 &lt;sub&gt;117&lt;/sub&gt;Sn] || 7,68 % || stabil || &lt;br&gt; |-</v>
      </c>
    </row>
    <row r="259" spans="1:14" ht="15.9" customHeight="1">
      <c r="A259" s="73">
        <v>50</v>
      </c>
      <c r="B259" s="81" t="s">
        <v>111</v>
      </c>
      <c r="C259" s="73">
        <v>118</v>
      </c>
      <c r="D259" s="73">
        <v>24.22</v>
      </c>
      <c r="E259" t="s">
        <v>1175</v>
      </c>
      <c r="G259" t="str">
        <f t="shared" si="28"/>
        <v>[http://atom.kaeri.re.kr/cgi-bin/nuclide?nuc=Sn-118 &lt;sub&gt;118&lt;/sub&gt;Sn]</v>
      </c>
      <c r="H259" t="str">
        <f t="shared" si="29"/>
        <v>24,22 % || stabil</v>
      </c>
      <c r="I259" t="str">
        <f t="shared" si="30"/>
        <v xml:space="preserve"> | [http://atom.kaeri.re.kr/cgi-bin/nuclide?nuc=Sn-118 &lt;sub&gt;118&lt;/sub&gt;Sn] || 24,22 % || stabil || </v>
      </c>
      <c r="N259" t="str">
        <f t="shared" si="31"/>
        <v xml:space="preserve"> | [http://atom.kaeri.re.kr/cgi-bin/nuclide?nuc=Sn-118 &lt;sub&gt;118&lt;/sub&gt;Sn] || 24,22 % || stabil || &lt;br&gt; |-</v>
      </c>
    </row>
    <row r="260" spans="1:14" ht="15.9" customHeight="1">
      <c r="A260" s="73">
        <v>50</v>
      </c>
      <c r="B260" s="81" t="s">
        <v>111</v>
      </c>
      <c r="C260" s="73">
        <v>119</v>
      </c>
      <c r="D260" s="73">
        <v>8.59</v>
      </c>
      <c r="E260" t="s">
        <v>1175</v>
      </c>
      <c r="G260" t="str">
        <f t="shared" si="28"/>
        <v>[http://atom.kaeri.re.kr/cgi-bin/nuclide?nuc=Sn-119 &lt;sub&gt;119&lt;/sub&gt;Sn]</v>
      </c>
      <c r="H260" t="str">
        <f t="shared" si="29"/>
        <v>8,59 % || stabil</v>
      </c>
      <c r="I260" t="str">
        <f t="shared" si="30"/>
        <v xml:space="preserve"> | [http://atom.kaeri.re.kr/cgi-bin/nuclide?nuc=Sn-119 &lt;sub&gt;119&lt;/sub&gt;Sn] || 8,59 % || stabil || </v>
      </c>
      <c r="N260" t="str">
        <f t="shared" si="31"/>
        <v xml:space="preserve"> | [http://atom.kaeri.re.kr/cgi-bin/nuclide?nuc=Sn-119 &lt;sub&gt;119&lt;/sub&gt;Sn] || 8,59 % || stabil || &lt;br&gt; |-</v>
      </c>
    </row>
    <row r="261" spans="1:14" ht="15.9" customHeight="1">
      <c r="A261" s="73">
        <v>50</v>
      </c>
      <c r="B261" s="81" t="s">
        <v>111</v>
      </c>
      <c r="C261" s="73">
        <v>120</v>
      </c>
      <c r="D261" s="73">
        <v>32.58</v>
      </c>
      <c r="E261" t="s">
        <v>1175</v>
      </c>
      <c r="G261" t="str">
        <f t="shared" si="28"/>
        <v>[http://atom.kaeri.re.kr/cgi-bin/nuclide?nuc=Sn-120 &lt;sub&gt;120&lt;/sub&gt;Sn]</v>
      </c>
      <c r="H261" t="str">
        <f t="shared" si="29"/>
        <v>32,58 % || stabil</v>
      </c>
      <c r="I261" t="str">
        <f t="shared" si="30"/>
        <v xml:space="preserve"> | [http://atom.kaeri.re.kr/cgi-bin/nuclide?nuc=Sn-120 &lt;sub&gt;120&lt;/sub&gt;Sn] || 32,58 % || stabil || </v>
      </c>
      <c r="N261" t="str">
        <f t="shared" si="31"/>
        <v xml:space="preserve"> | [http://atom.kaeri.re.kr/cgi-bin/nuclide?nuc=Sn-120 &lt;sub&gt;120&lt;/sub&gt;Sn] || 32,58 % || stabil || &lt;br&gt; |-</v>
      </c>
    </row>
    <row r="262" spans="1:14" ht="15.9" customHeight="1">
      <c r="A262" s="73">
        <v>50</v>
      </c>
      <c r="B262" s="81" t="s">
        <v>111</v>
      </c>
      <c r="C262" s="73">
        <v>122</v>
      </c>
      <c r="D262" s="73">
        <v>4.63</v>
      </c>
      <c r="E262" t="s">
        <v>1175</v>
      </c>
      <c r="G262" t="str">
        <f t="shared" si="28"/>
        <v>[http://atom.kaeri.re.kr/cgi-bin/nuclide?nuc=Sn-122 &lt;sub&gt;122&lt;/sub&gt;Sn]</v>
      </c>
      <c r="H262" t="str">
        <f t="shared" si="29"/>
        <v>4,63 % || stabil</v>
      </c>
      <c r="I262" t="str">
        <f t="shared" si="30"/>
        <v xml:space="preserve"> | [http://atom.kaeri.re.kr/cgi-bin/nuclide?nuc=Sn-122 &lt;sub&gt;122&lt;/sub&gt;Sn] || 4,63 % || stabil || </v>
      </c>
      <c r="N262" t="str">
        <f t="shared" si="31"/>
        <v xml:space="preserve"> | [http://atom.kaeri.re.kr/cgi-bin/nuclide?nuc=Sn-122 &lt;sub&gt;122&lt;/sub&gt;Sn] || 4,63 % || stabil || &lt;br&gt; |-</v>
      </c>
    </row>
    <row r="263" spans="1:14" ht="15.9" customHeight="1">
      <c r="A263" s="73">
        <v>50</v>
      </c>
      <c r="B263" s="81" t="s">
        <v>111</v>
      </c>
      <c r="C263" s="73">
        <v>124</v>
      </c>
      <c r="D263" s="73">
        <v>5.79</v>
      </c>
      <c r="E263" t="s">
        <v>1175</v>
      </c>
      <c r="G263" t="str">
        <f t="shared" si="28"/>
        <v>[http://atom.kaeri.re.kr/cgi-bin/nuclide?nuc=Sn-124 &lt;sub&gt;124&lt;/sub&gt;Sn]</v>
      </c>
      <c r="H263" t="str">
        <f t="shared" si="29"/>
        <v>5,79 % || stabil</v>
      </c>
      <c r="I263" t="str">
        <f t="shared" si="30"/>
        <v xml:space="preserve"> | [http://atom.kaeri.re.kr/cgi-bin/nuclide?nuc=Sn-124 &lt;sub&gt;124&lt;/sub&gt;Sn] || 5,79 % || stabil || </v>
      </c>
      <c r="N263" t="str">
        <f t="shared" si="31"/>
        <v xml:space="preserve"> | [http://atom.kaeri.re.kr/cgi-bin/nuclide?nuc=Sn-124 &lt;sub&gt;124&lt;/sub&gt;Sn] || 5,79 % || stabil || &lt;br&gt; |-</v>
      </c>
    </row>
    <row r="264" spans="1:14" ht="15.9" customHeight="1">
      <c r="A264">
        <v>50</v>
      </c>
      <c r="B264" s="83" t="s">
        <v>111</v>
      </c>
      <c r="C264">
        <v>999</v>
      </c>
      <c r="D264" t="s">
        <v>112</v>
      </c>
      <c r="E264" t="s">
        <v>1175</v>
      </c>
      <c r="N264" t="str">
        <f>CONCATENATE(" |}&lt;br&gt;* [http://atom.kaeri.re.kr/cgi-bin/nuclide?nuc=",B264," alle bekannten ",D264,"-Isotope]")</f>
        <v xml:space="preserve"> |}&lt;br&gt;* [http://atom.kaeri.re.kr/cgi-bin/nuclide?nuc=Sn alle bekannten Zinn-Isotope]</v>
      </c>
    </row>
    <row r="265" spans="1:14" ht="15.9" customHeight="1">
      <c r="A265">
        <v>51</v>
      </c>
      <c r="B265" s="83" t="s">
        <v>114</v>
      </c>
      <c r="C265" s="73">
        <v>0</v>
      </c>
      <c r="D265" t="s">
        <v>115</v>
      </c>
      <c r="E265" t="s">
        <v>1175</v>
      </c>
      <c r="N265" t="str">
        <f>CONCATENATE("=== [[",D265,"]] ===&lt;br&gt;{| {{tabelle}}&lt;br&gt;! Isotop !! ",$D$1," !! [[",$E$1,"]] !! ",$F$1," &lt;br&gt; |-")</f>
        <v>=== [[Antimon]] ===&lt;br&gt;{| {{tabelle}}&lt;br&gt;! Isotop !! natürliche Häufigkeit !! [[Halbwertszeit]] !! Herkunft, techn. Bedeutung &lt;br&gt; |-</v>
      </c>
    </row>
    <row r="266" spans="1:14" ht="15.9" customHeight="1">
      <c r="A266" s="73">
        <v>51</v>
      </c>
      <c r="B266" s="81" t="s">
        <v>114</v>
      </c>
      <c r="C266" s="73">
        <v>121</v>
      </c>
      <c r="D266" s="73">
        <v>57.21</v>
      </c>
      <c r="E266" t="s">
        <v>1175</v>
      </c>
      <c r="G266" t="str">
        <f>CONCATENATE("[","http://atom.kaeri.re.kr/cgi-bin/nuclide?nuc=",B266,"-",C266," &lt;sub&gt;",C266,"&lt;/sub&gt;",B266,"]")</f>
        <v>[http://atom.kaeri.re.kr/cgi-bin/nuclide?nuc=Sb-121 &lt;sub&gt;121&lt;/sub&gt;Sb]</v>
      </c>
      <c r="H266" t="str">
        <f>CONCATENATE(D266," % || ",E266)</f>
        <v>57,21 % || stabil</v>
      </c>
      <c r="I266" t="str">
        <f>CONCATENATE(" | ",G266," || ",H266," || ",F266)</f>
        <v xml:space="preserve"> | [http://atom.kaeri.re.kr/cgi-bin/nuclide?nuc=Sb-121 &lt;sub&gt;121&lt;/sub&gt;Sb] || 57,21 % || stabil || </v>
      </c>
      <c r="N266" t="str">
        <f>CONCATENATE(I266,"&lt;br&gt;"," |-")</f>
        <v xml:space="preserve"> | [http://atom.kaeri.re.kr/cgi-bin/nuclide?nuc=Sb-121 &lt;sub&gt;121&lt;/sub&gt;Sb] || 57,21 % || stabil || &lt;br&gt; |-</v>
      </c>
    </row>
    <row r="267" spans="1:14" ht="15.9" customHeight="1">
      <c r="A267" s="73">
        <v>51</v>
      </c>
      <c r="B267" s="81" t="s">
        <v>114</v>
      </c>
      <c r="C267" s="73">
        <v>123</v>
      </c>
      <c r="D267" s="73">
        <v>42.79</v>
      </c>
      <c r="E267" t="s">
        <v>1175</v>
      </c>
      <c r="G267" t="str">
        <f>CONCATENATE("[","http://atom.kaeri.re.kr/cgi-bin/nuclide?nuc=",B267,"-",C267," &lt;sub&gt;",C267,"&lt;/sub&gt;",B267,"]")</f>
        <v>[http://atom.kaeri.re.kr/cgi-bin/nuclide?nuc=Sb-123 &lt;sub&gt;123&lt;/sub&gt;Sb]</v>
      </c>
      <c r="H267" t="str">
        <f>CONCATENATE(D267," % || ",E267)</f>
        <v>42,79 % || stabil</v>
      </c>
      <c r="I267" t="str">
        <f>CONCATENATE(" | ",G267," || ",H267," || ",F267)</f>
        <v xml:space="preserve"> | [http://atom.kaeri.re.kr/cgi-bin/nuclide?nuc=Sb-123 &lt;sub&gt;123&lt;/sub&gt;Sb] || 42,79 % || stabil || </v>
      </c>
      <c r="N267" t="str">
        <f>CONCATENATE(I267,"&lt;br&gt;"," |-")</f>
        <v xml:space="preserve"> | [http://atom.kaeri.re.kr/cgi-bin/nuclide?nuc=Sb-123 &lt;sub&gt;123&lt;/sub&gt;Sb] || 42,79 % || stabil || &lt;br&gt; |-</v>
      </c>
    </row>
    <row r="268" spans="1:14" ht="15.9" customHeight="1">
      <c r="A268">
        <v>51</v>
      </c>
      <c r="B268" s="83" t="s">
        <v>114</v>
      </c>
      <c r="C268">
        <v>999</v>
      </c>
      <c r="D268" t="s">
        <v>115</v>
      </c>
      <c r="E268" t="s">
        <v>1175</v>
      </c>
      <c r="N268" t="str">
        <f>CONCATENATE(" |}&lt;br&gt;* [http://atom.kaeri.re.kr/cgi-bin/nuclide?nuc=",B268," alle bekannten ",D268,"-Isotope]")</f>
        <v xml:space="preserve"> |}&lt;br&gt;* [http://atom.kaeri.re.kr/cgi-bin/nuclide?nuc=Sb alle bekannten Antimon-Isotope]</v>
      </c>
    </row>
    <row r="269" spans="1:14" ht="15.9" customHeight="1">
      <c r="A269">
        <v>52</v>
      </c>
      <c r="B269" s="83" t="s">
        <v>117</v>
      </c>
      <c r="C269" s="73">
        <v>0</v>
      </c>
      <c r="D269" t="s">
        <v>118</v>
      </c>
      <c r="E269" t="s">
        <v>1175</v>
      </c>
      <c r="N269" t="str">
        <f>CONCATENATE("=== [[",D269,"]] ===&lt;br&gt;{| {{tabelle}}&lt;br&gt;! Isotop !! ",$D$1," !! [[",$E$1,"]] !! ",$F$1," &lt;br&gt; |-")</f>
        <v>=== [[Tellur]] ===&lt;br&gt;{| {{tabelle}}&lt;br&gt;! Isotop !! natürliche Häufigkeit !! [[Halbwertszeit]] !! Herkunft, techn. Bedeutung &lt;br&gt; |-</v>
      </c>
    </row>
    <row r="270" spans="1:14" ht="15.9" customHeight="1">
      <c r="A270" s="73">
        <v>52</v>
      </c>
      <c r="B270" s="81" t="s">
        <v>117</v>
      </c>
      <c r="C270" s="73">
        <v>120</v>
      </c>
      <c r="D270" s="73">
        <v>0.09</v>
      </c>
      <c r="E270" t="s">
        <v>1175</v>
      </c>
      <c r="G270" t="str">
        <f t="shared" ref="G270:G277" si="32">CONCATENATE("[","http://atom.kaeri.re.kr/cgi-bin/nuclide?nuc=",B270,"-",C270," &lt;sub&gt;",C270,"&lt;/sub&gt;",B270,"]")</f>
        <v>[http://atom.kaeri.re.kr/cgi-bin/nuclide?nuc=Te-120 &lt;sub&gt;120&lt;/sub&gt;Te]</v>
      </c>
      <c r="H270" t="str">
        <f t="shared" ref="H270:H277" si="33">CONCATENATE(D270," % || ",E270)</f>
        <v>0,09 % || stabil</v>
      </c>
      <c r="I270" t="str">
        <f t="shared" ref="I270:I277" si="34">CONCATENATE(" | ",G270," || ",H270," || ",F270)</f>
        <v xml:space="preserve"> | [http://atom.kaeri.re.kr/cgi-bin/nuclide?nuc=Te-120 &lt;sub&gt;120&lt;/sub&gt;Te] || 0,09 % || stabil || </v>
      </c>
      <c r="N270" t="str">
        <f t="shared" ref="N270:N277" si="35">CONCATENATE(I270,"&lt;br&gt;"," |-")</f>
        <v xml:space="preserve"> | [http://atom.kaeri.re.kr/cgi-bin/nuclide?nuc=Te-120 &lt;sub&gt;120&lt;/sub&gt;Te] || 0,09 % || stabil || &lt;br&gt; |-</v>
      </c>
    </row>
    <row r="271" spans="1:14" ht="15.9" customHeight="1">
      <c r="A271" s="73">
        <v>52</v>
      </c>
      <c r="B271" s="81" t="s">
        <v>117</v>
      </c>
      <c r="C271" s="73">
        <v>122</v>
      </c>
      <c r="D271" s="73">
        <v>2.5499999999999998</v>
      </c>
      <c r="E271" t="s">
        <v>1175</v>
      </c>
      <c r="G271" t="str">
        <f t="shared" si="32"/>
        <v>[http://atom.kaeri.re.kr/cgi-bin/nuclide?nuc=Te-122 &lt;sub&gt;122&lt;/sub&gt;Te]</v>
      </c>
      <c r="H271" t="str">
        <f t="shared" si="33"/>
        <v>2,55 % || stabil</v>
      </c>
      <c r="I271" t="str">
        <f t="shared" si="34"/>
        <v xml:space="preserve"> | [http://atom.kaeri.re.kr/cgi-bin/nuclide?nuc=Te-122 &lt;sub&gt;122&lt;/sub&gt;Te] || 2,55 % || stabil || </v>
      </c>
      <c r="N271" t="str">
        <f t="shared" si="35"/>
        <v xml:space="preserve"> | [http://atom.kaeri.re.kr/cgi-bin/nuclide?nuc=Te-122 &lt;sub&gt;122&lt;/sub&gt;Te] || 2,55 % || stabil || &lt;br&gt; |-</v>
      </c>
    </row>
    <row r="272" spans="1:14" ht="15.9" customHeight="1">
      <c r="A272" s="73">
        <v>52</v>
      </c>
      <c r="B272" s="81" t="s">
        <v>117</v>
      </c>
      <c r="C272" s="73">
        <v>123</v>
      </c>
      <c r="D272" s="73">
        <v>0.89</v>
      </c>
      <c r="E272" t="s">
        <v>1175</v>
      </c>
      <c r="G272" t="str">
        <f t="shared" si="32"/>
        <v>[http://atom.kaeri.re.kr/cgi-bin/nuclide?nuc=Te-123 &lt;sub&gt;123&lt;/sub&gt;Te]</v>
      </c>
      <c r="H272" t="str">
        <f t="shared" si="33"/>
        <v>0,89 % || stabil</v>
      </c>
      <c r="I272" t="str">
        <f t="shared" si="34"/>
        <v xml:space="preserve"> | [http://atom.kaeri.re.kr/cgi-bin/nuclide?nuc=Te-123 &lt;sub&gt;123&lt;/sub&gt;Te] || 0,89 % || stabil || </v>
      </c>
      <c r="N272" t="str">
        <f t="shared" si="35"/>
        <v xml:space="preserve"> | [http://atom.kaeri.re.kr/cgi-bin/nuclide?nuc=Te-123 &lt;sub&gt;123&lt;/sub&gt;Te] || 0,89 % || stabil || &lt;br&gt; |-</v>
      </c>
    </row>
    <row r="273" spans="1:14" ht="15.9" customHeight="1">
      <c r="A273" s="73">
        <v>52</v>
      </c>
      <c r="B273" s="81" t="s">
        <v>117</v>
      </c>
      <c r="C273" s="73">
        <v>124</v>
      </c>
      <c r="D273" s="73">
        <v>4.74</v>
      </c>
      <c r="E273" t="s">
        <v>1175</v>
      </c>
      <c r="G273" t="str">
        <f t="shared" si="32"/>
        <v>[http://atom.kaeri.re.kr/cgi-bin/nuclide?nuc=Te-124 &lt;sub&gt;124&lt;/sub&gt;Te]</v>
      </c>
      <c r="H273" t="str">
        <f t="shared" si="33"/>
        <v>4,74 % || stabil</v>
      </c>
      <c r="I273" t="str">
        <f t="shared" si="34"/>
        <v xml:space="preserve"> | [http://atom.kaeri.re.kr/cgi-bin/nuclide?nuc=Te-124 &lt;sub&gt;124&lt;/sub&gt;Te] || 4,74 % || stabil || </v>
      </c>
      <c r="N273" t="str">
        <f t="shared" si="35"/>
        <v xml:space="preserve"> | [http://atom.kaeri.re.kr/cgi-bin/nuclide?nuc=Te-124 &lt;sub&gt;124&lt;/sub&gt;Te] || 4,74 % || stabil || &lt;br&gt; |-</v>
      </c>
    </row>
    <row r="274" spans="1:14" ht="15.9" customHeight="1">
      <c r="A274" s="73">
        <v>52</v>
      </c>
      <c r="B274" s="81" t="s">
        <v>117</v>
      </c>
      <c r="C274" s="73">
        <v>125</v>
      </c>
      <c r="D274" s="73">
        <v>7.07</v>
      </c>
      <c r="E274" t="s">
        <v>1175</v>
      </c>
      <c r="G274" t="str">
        <f t="shared" si="32"/>
        <v>[http://atom.kaeri.re.kr/cgi-bin/nuclide?nuc=Te-125 &lt;sub&gt;125&lt;/sub&gt;Te]</v>
      </c>
      <c r="H274" t="str">
        <f t="shared" si="33"/>
        <v>7,07 % || stabil</v>
      </c>
      <c r="I274" t="str">
        <f t="shared" si="34"/>
        <v xml:space="preserve"> | [http://atom.kaeri.re.kr/cgi-bin/nuclide?nuc=Te-125 &lt;sub&gt;125&lt;/sub&gt;Te] || 7,07 % || stabil || </v>
      </c>
      <c r="N274" t="str">
        <f t="shared" si="35"/>
        <v xml:space="preserve"> | [http://atom.kaeri.re.kr/cgi-bin/nuclide?nuc=Te-125 &lt;sub&gt;125&lt;/sub&gt;Te] || 7,07 % || stabil || &lt;br&gt; |-</v>
      </c>
    </row>
    <row r="275" spans="1:14" ht="15.9" customHeight="1">
      <c r="A275" s="73">
        <v>52</v>
      </c>
      <c r="B275" s="81" t="s">
        <v>117</v>
      </c>
      <c r="C275" s="73">
        <v>126</v>
      </c>
      <c r="D275" s="73">
        <v>18.84</v>
      </c>
      <c r="E275" t="s">
        <v>1175</v>
      </c>
      <c r="G275" t="str">
        <f t="shared" si="32"/>
        <v>[http://atom.kaeri.re.kr/cgi-bin/nuclide?nuc=Te-126 &lt;sub&gt;126&lt;/sub&gt;Te]</v>
      </c>
      <c r="H275" t="str">
        <f t="shared" si="33"/>
        <v>18,84 % || stabil</v>
      </c>
      <c r="I275" t="str">
        <f t="shared" si="34"/>
        <v xml:space="preserve"> | [http://atom.kaeri.re.kr/cgi-bin/nuclide?nuc=Te-126 &lt;sub&gt;126&lt;/sub&gt;Te] || 18,84 % || stabil || </v>
      </c>
      <c r="N275" t="str">
        <f t="shared" si="35"/>
        <v xml:space="preserve"> | [http://atom.kaeri.re.kr/cgi-bin/nuclide?nuc=Te-126 &lt;sub&gt;126&lt;/sub&gt;Te] || 18,84 % || stabil || &lt;br&gt; |-</v>
      </c>
    </row>
    <row r="276" spans="1:14" ht="15.9" customHeight="1">
      <c r="A276" s="73">
        <v>52</v>
      </c>
      <c r="B276" s="81" t="s">
        <v>117</v>
      </c>
      <c r="C276" s="73">
        <v>128</v>
      </c>
      <c r="D276" s="73">
        <v>31.74</v>
      </c>
      <c r="E276" t="s">
        <v>1175</v>
      </c>
      <c r="G276" t="str">
        <f t="shared" si="32"/>
        <v>[http://atom.kaeri.re.kr/cgi-bin/nuclide?nuc=Te-128 &lt;sub&gt;128&lt;/sub&gt;Te]</v>
      </c>
      <c r="H276" t="str">
        <f t="shared" si="33"/>
        <v>31,74 % || stabil</v>
      </c>
      <c r="I276" t="str">
        <f t="shared" si="34"/>
        <v xml:space="preserve"> | [http://atom.kaeri.re.kr/cgi-bin/nuclide?nuc=Te-128 &lt;sub&gt;128&lt;/sub&gt;Te] || 31,74 % || stabil || </v>
      </c>
      <c r="N276" t="str">
        <f t="shared" si="35"/>
        <v xml:space="preserve"> | [http://atom.kaeri.re.kr/cgi-bin/nuclide?nuc=Te-128 &lt;sub&gt;128&lt;/sub&gt;Te] || 31,74 % || stabil || &lt;br&gt; |-</v>
      </c>
    </row>
    <row r="277" spans="1:14" ht="15.9" customHeight="1">
      <c r="A277" s="73">
        <v>52</v>
      </c>
      <c r="B277" s="81" t="s">
        <v>117</v>
      </c>
      <c r="C277" s="73">
        <v>130</v>
      </c>
      <c r="D277" s="73">
        <v>34.08</v>
      </c>
      <c r="E277" t="s">
        <v>1175</v>
      </c>
      <c r="G277" t="str">
        <f t="shared" si="32"/>
        <v>[http://atom.kaeri.re.kr/cgi-bin/nuclide?nuc=Te-130 &lt;sub&gt;130&lt;/sub&gt;Te]</v>
      </c>
      <c r="H277" t="str">
        <f t="shared" si="33"/>
        <v>34,08 % || stabil</v>
      </c>
      <c r="I277" t="str">
        <f t="shared" si="34"/>
        <v xml:space="preserve"> | [http://atom.kaeri.re.kr/cgi-bin/nuclide?nuc=Te-130 &lt;sub&gt;130&lt;/sub&gt;Te] || 34,08 % || stabil || </v>
      </c>
      <c r="N277" t="str">
        <f t="shared" si="35"/>
        <v xml:space="preserve"> | [http://atom.kaeri.re.kr/cgi-bin/nuclide?nuc=Te-130 &lt;sub&gt;130&lt;/sub&gt;Te] || 34,08 % || stabil || &lt;br&gt; |-</v>
      </c>
    </row>
    <row r="278" spans="1:14" ht="15.9" customHeight="1">
      <c r="A278">
        <v>52</v>
      </c>
      <c r="B278" s="83" t="s">
        <v>117</v>
      </c>
      <c r="C278">
        <v>999</v>
      </c>
      <c r="D278" t="s">
        <v>118</v>
      </c>
      <c r="E278" t="s">
        <v>1175</v>
      </c>
      <c r="N278" t="str">
        <f>CONCATENATE(" |}&lt;br&gt;* [http://atom.kaeri.re.kr/cgi-bin/nuclide?nuc=",B278," alle bekannten ",D278,"-Isotope]")</f>
        <v xml:space="preserve"> |}&lt;br&gt;* [http://atom.kaeri.re.kr/cgi-bin/nuclide?nuc=Te alle bekannten Tellur-Isotope]</v>
      </c>
    </row>
    <row r="279" spans="1:14" ht="15.9" customHeight="1">
      <c r="A279">
        <v>53</v>
      </c>
      <c r="B279" s="83" t="s">
        <v>994</v>
      </c>
      <c r="C279" s="73">
        <v>0</v>
      </c>
      <c r="D279" t="s">
        <v>121</v>
      </c>
      <c r="E279" t="s">
        <v>1175</v>
      </c>
      <c r="N279" t="str">
        <f>CONCATENATE("=== [[",D279,"]] ===&lt;br&gt;{| {{tabelle}}&lt;br&gt;! Isotop !! ",$D$1," !! [[",$E$1,"]] !! ",$F$1," &lt;br&gt; |-")</f>
        <v>=== [[Iod]] ===&lt;br&gt;{| {{tabelle}}&lt;br&gt;! Isotop !! natürliche Häufigkeit !! [[Halbwertszeit]] !! Herkunft, techn. Bedeutung &lt;br&gt; |-</v>
      </c>
    </row>
    <row r="280" spans="1:14" s="78" customFormat="1" ht="15.9" customHeight="1">
      <c r="A280">
        <v>53</v>
      </c>
      <c r="B280" s="82" t="s">
        <v>994</v>
      </c>
      <c r="C280" s="79">
        <v>125</v>
      </c>
      <c r="D280" s="78" t="s">
        <v>1068</v>
      </c>
      <c r="E280" t="s">
        <v>1166</v>
      </c>
      <c r="F280" t="s">
        <v>1199</v>
      </c>
      <c r="G280" t="str">
        <f>CONCATENATE("[","http://atom.kaeri.re.kr/cgi-bin/nuclide?nuc=",B280,"-",C280," &lt;sub&gt;",C280,"&lt;/sub&gt;",B280,"]")</f>
        <v>[http://atom.kaeri.re.kr/cgi-bin/nuclide?nuc=I-125 &lt;sub&gt;125&lt;/sub&gt;I]</v>
      </c>
      <c r="H280" t="str">
        <f>CONCATENATE(D280," % || ",E280)</f>
        <v>- % || 60 Tage</v>
      </c>
      <c r="I280" t="str">
        <f>CONCATENATE(" | ",G280," || ",H280," || ",F280)</f>
        <v xml:space="preserve"> | [http://atom.kaeri.re.kr/cgi-bin/nuclide?nuc=I-125 &lt;sub&gt;125&lt;/sub&gt;I] || - % || 60 Tage || [[radioaktiv]], Medizin</v>
      </c>
      <c r="J280"/>
      <c r="K280"/>
      <c r="L280"/>
      <c r="M280"/>
      <c r="N280" t="str">
        <f>CONCATENATE(I280,"&lt;br&gt;"," |-")</f>
        <v xml:space="preserve"> | [http://atom.kaeri.re.kr/cgi-bin/nuclide?nuc=I-125 &lt;sub&gt;125&lt;/sub&gt;I] || - % || 60 Tage || [[radioaktiv]], Medizin&lt;br&gt; |-</v>
      </c>
    </row>
    <row r="281" spans="1:14" ht="15.9" customHeight="1">
      <c r="A281">
        <v>53</v>
      </c>
      <c r="B281" s="81" t="s">
        <v>994</v>
      </c>
      <c r="C281" s="73">
        <v>127</v>
      </c>
      <c r="D281" s="73">
        <v>100</v>
      </c>
      <c r="E281" t="s">
        <v>1175</v>
      </c>
      <c r="G281" t="str">
        <f>CONCATENATE("[","http://atom.kaeri.re.kr/cgi-bin/nuclide?nuc=",B281,"-",C281," &lt;sub&gt;",C281,"&lt;/sub&gt;",B281,"]")</f>
        <v>[http://atom.kaeri.re.kr/cgi-bin/nuclide?nuc=I-127 &lt;sub&gt;127&lt;/sub&gt;I]</v>
      </c>
      <c r="H281" t="str">
        <f>CONCATENATE(D281," % || ",E281)</f>
        <v>100 % || stabil</v>
      </c>
      <c r="I281" t="str">
        <f>CONCATENATE(" | ",G281," || ",H281," || ",F281)</f>
        <v xml:space="preserve"> | [http://atom.kaeri.re.kr/cgi-bin/nuclide?nuc=I-127 &lt;sub&gt;127&lt;/sub&gt;I] || 100 % || stabil || </v>
      </c>
      <c r="N281" t="str">
        <f>CONCATENATE(I281,"&lt;br&gt;"," |-")</f>
        <v xml:space="preserve"> | [http://atom.kaeri.re.kr/cgi-bin/nuclide?nuc=I-127 &lt;sub&gt;127&lt;/sub&gt;I] || 100 % || stabil || &lt;br&gt; |-</v>
      </c>
    </row>
    <row r="282" spans="1:14" s="78" customFormat="1" ht="15.9" customHeight="1">
      <c r="A282">
        <v>53</v>
      </c>
      <c r="B282" s="82" t="s">
        <v>994</v>
      </c>
      <c r="C282" s="79">
        <v>131</v>
      </c>
      <c r="D282" s="78" t="s">
        <v>1068</v>
      </c>
      <c r="E282" t="s">
        <v>1168</v>
      </c>
      <c r="F282" t="s">
        <v>1197</v>
      </c>
      <c r="G282" t="str">
        <f>CONCATENATE("[","http://atom.kaeri.re.kr/cgi-bin/nuclide?nuc=",B282,"-",C282," &lt;sub&gt;",C282,"&lt;/sub&gt;",B282,"]")</f>
        <v>[http://atom.kaeri.re.kr/cgi-bin/nuclide?nuc=I-131 &lt;sub&gt;131&lt;/sub&gt;I]</v>
      </c>
      <c r="H282" t="str">
        <f>CONCATENATE(D282," % || ",E282)</f>
        <v>- % || 8 Tage</v>
      </c>
      <c r="I282" t="str">
        <f>CONCATENATE(" | ",G282," || ",H282," || ",F282)</f>
        <v xml:space="preserve"> | [http://atom.kaeri.re.kr/cgi-bin/nuclide?nuc=I-131 &lt;sub&gt;131&lt;/sub&gt;I] || - % || 8 Tage || [[radioaktiv]], Medizin, Kerntechnik</v>
      </c>
      <c r="J282"/>
      <c r="K282"/>
      <c r="L282"/>
      <c r="M282"/>
      <c r="N282" t="str">
        <f>CONCATENATE(I282,"&lt;br&gt;"," |-")</f>
        <v xml:space="preserve"> | [http://atom.kaeri.re.kr/cgi-bin/nuclide?nuc=I-131 &lt;sub&gt;131&lt;/sub&gt;I] || - % || 8 Tage || [[radioaktiv]], Medizin, Kerntechnik&lt;br&gt; |-</v>
      </c>
    </row>
    <row r="283" spans="1:14" ht="15.9" customHeight="1">
      <c r="A283">
        <v>53</v>
      </c>
      <c r="B283" s="83" t="s">
        <v>994</v>
      </c>
      <c r="C283">
        <v>999</v>
      </c>
      <c r="D283" t="s">
        <v>121</v>
      </c>
      <c r="E283" t="s">
        <v>1175</v>
      </c>
      <c r="N283" t="str">
        <f>CONCATENATE(" |}&lt;br&gt;* [http://atom.kaeri.re.kr/cgi-bin/nuclide?nuc=",B283," alle bekannten ",D283,"-Isotope]")</f>
        <v xml:space="preserve"> |}&lt;br&gt;* [http://atom.kaeri.re.kr/cgi-bin/nuclide?nuc=I alle bekannten Iod-Isotope]</v>
      </c>
    </row>
    <row r="284" spans="1:14" ht="15.9" customHeight="1">
      <c r="A284">
        <v>54</v>
      </c>
      <c r="B284" s="83" t="s">
        <v>124</v>
      </c>
      <c r="C284" s="73">
        <v>0</v>
      </c>
      <c r="D284" t="s">
        <v>125</v>
      </c>
      <c r="E284" t="s">
        <v>1175</v>
      </c>
      <c r="N284" t="str">
        <f>CONCATENATE("=== [[",D284,"]] ===&lt;br&gt;{| {{tabelle}}&lt;br&gt;! Isotop !! ",$D$1," !! [[",$E$1,"]] !! ",$F$1," &lt;br&gt; |-")</f>
        <v>=== [[Xenon]] ===&lt;br&gt;{| {{tabelle}}&lt;br&gt;! Isotop !! natürliche Häufigkeit !! [[Halbwertszeit]] !! Herkunft, techn. Bedeutung &lt;br&gt; |-</v>
      </c>
    </row>
    <row r="285" spans="1:14" ht="15.9" customHeight="1">
      <c r="A285" s="73">
        <v>54</v>
      </c>
      <c r="B285" s="81" t="s">
        <v>124</v>
      </c>
      <c r="C285" s="73">
        <v>124</v>
      </c>
      <c r="D285" s="73">
        <v>0.09</v>
      </c>
      <c r="E285" t="s">
        <v>1175</v>
      </c>
      <c r="G285" t="str">
        <f t="shared" ref="G285:G293" si="36">CONCATENATE("[","http://atom.kaeri.re.kr/cgi-bin/nuclide?nuc=",B285,"-",C285," &lt;sub&gt;",C285,"&lt;/sub&gt;",B285,"]")</f>
        <v>[http://atom.kaeri.re.kr/cgi-bin/nuclide?nuc=Xe-124 &lt;sub&gt;124&lt;/sub&gt;Xe]</v>
      </c>
      <c r="H285" t="str">
        <f t="shared" ref="H285:H293" si="37">CONCATENATE(D285," % || ",E285)</f>
        <v>0,09 % || stabil</v>
      </c>
      <c r="I285" t="str">
        <f t="shared" ref="I285:I293" si="38">CONCATENATE(" | ",G285," || ",H285," || ",F285)</f>
        <v xml:space="preserve"> | [http://atom.kaeri.re.kr/cgi-bin/nuclide?nuc=Xe-124 &lt;sub&gt;124&lt;/sub&gt;Xe] || 0,09 % || stabil || </v>
      </c>
      <c r="N285" t="str">
        <f t="shared" ref="N285:N293" si="39">CONCATENATE(I285,"&lt;br&gt;"," |-")</f>
        <v xml:space="preserve"> | [http://atom.kaeri.re.kr/cgi-bin/nuclide?nuc=Xe-124 &lt;sub&gt;124&lt;/sub&gt;Xe] || 0,09 % || stabil || &lt;br&gt; |-</v>
      </c>
    </row>
    <row r="286" spans="1:14" ht="15.9" customHeight="1">
      <c r="A286" s="73">
        <v>54</v>
      </c>
      <c r="B286" s="81" t="s">
        <v>124</v>
      </c>
      <c r="C286" s="73">
        <v>126</v>
      </c>
      <c r="D286" s="73">
        <v>0.09</v>
      </c>
      <c r="E286" t="s">
        <v>1175</v>
      </c>
      <c r="G286" t="str">
        <f t="shared" si="36"/>
        <v>[http://atom.kaeri.re.kr/cgi-bin/nuclide?nuc=Xe-126 &lt;sub&gt;126&lt;/sub&gt;Xe]</v>
      </c>
      <c r="H286" t="str">
        <f t="shared" si="37"/>
        <v>0,09 % || stabil</v>
      </c>
      <c r="I286" t="str">
        <f t="shared" si="38"/>
        <v xml:space="preserve"> | [http://atom.kaeri.re.kr/cgi-bin/nuclide?nuc=Xe-126 &lt;sub&gt;126&lt;/sub&gt;Xe] || 0,09 % || stabil || </v>
      </c>
      <c r="N286" t="str">
        <f t="shared" si="39"/>
        <v xml:space="preserve"> | [http://atom.kaeri.re.kr/cgi-bin/nuclide?nuc=Xe-126 &lt;sub&gt;126&lt;/sub&gt;Xe] || 0,09 % || stabil || &lt;br&gt; |-</v>
      </c>
    </row>
    <row r="287" spans="1:14" ht="15.9" customHeight="1">
      <c r="A287" s="73">
        <v>54</v>
      </c>
      <c r="B287" s="81" t="s">
        <v>124</v>
      </c>
      <c r="C287" s="73">
        <v>128</v>
      </c>
      <c r="D287" s="73">
        <v>1.92</v>
      </c>
      <c r="E287" t="s">
        <v>1175</v>
      </c>
      <c r="G287" t="str">
        <f t="shared" si="36"/>
        <v>[http://atom.kaeri.re.kr/cgi-bin/nuclide?nuc=Xe-128 &lt;sub&gt;128&lt;/sub&gt;Xe]</v>
      </c>
      <c r="H287" t="str">
        <f t="shared" si="37"/>
        <v>1,92 % || stabil</v>
      </c>
      <c r="I287" t="str">
        <f t="shared" si="38"/>
        <v xml:space="preserve"> | [http://atom.kaeri.re.kr/cgi-bin/nuclide?nuc=Xe-128 &lt;sub&gt;128&lt;/sub&gt;Xe] || 1,92 % || stabil || </v>
      </c>
      <c r="N287" t="str">
        <f t="shared" si="39"/>
        <v xml:space="preserve"> | [http://atom.kaeri.re.kr/cgi-bin/nuclide?nuc=Xe-128 &lt;sub&gt;128&lt;/sub&gt;Xe] || 1,92 % || stabil || &lt;br&gt; |-</v>
      </c>
    </row>
    <row r="288" spans="1:14" ht="15.9" customHeight="1">
      <c r="A288" s="73">
        <v>54</v>
      </c>
      <c r="B288" s="81" t="s">
        <v>124</v>
      </c>
      <c r="C288" s="73">
        <v>129</v>
      </c>
      <c r="D288" s="73">
        <v>26.44</v>
      </c>
      <c r="E288" t="s">
        <v>1175</v>
      </c>
      <c r="G288" t="str">
        <f t="shared" si="36"/>
        <v>[http://atom.kaeri.re.kr/cgi-bin/nuclide?nuc=Xe-129 &lt;sub&gt;129&lt;/sub&gt;Xe]</v>
      </c>
      <c r="H288" t="str">
        <f t="shared" si="37"/>
        <v>26,44 % || stabil</v>
      </c>
      <c r="I288" t="str">
        <f t="shared" si="38"/>
        <v xml:space="preserve"> | [http://atom.kaeri.re.kr/cgi-bin/nuclide?nuc=Xe-129 &lt;sub&gt;129&lt;/sub&gt;Xe] || 26,44 % || stabil || </v>
      </c>
      <c r="N288" t="str">
        <f t="shared" si="39"/>
        <v xml:space="preserve"> | [http://atom.kaeri.re.kr/cgi-bin/nuclide?nuc=Xe-129 &lt;sub&gt;129&lt;/sub&gt;Xe] || 26,44 % || stabil || &lt;br&gt; |-</v>
      </c>
    </row>
    <row r="289" spans="1:14" ht="15.9" customHeight="1">
      <c r="A289" s="73">
        <v>54</v>
      </c>
      <c r="B289" s="81" t="s">
        <v>124</v>
      </c>
      <c r="C289" s="73">
        <v>130</v>
      </c>
      <c r="D289" s="73">
        <v>4.08</v>
      </c>
      <c r="E289" t="s">
        <v>1175</v>
      </c>
      <c r="G289" t="str">
        <f t="shared" si="36"/>
        <v>[http://atom.kaeri.re.kr/cgi-bin/nuclide?nuc=Xe-130 &lt;sub&gt;130&lt;/sub&gt;Xe]</v>
      </c>
      <c r="H289" t="str">
        <f t="shared" si="37"/>
        <v>4,08 % || stabil</v>
      </c>
      <c r="I289" t="str">
        <f t="shared" si="38"/>
        <v xml:space="preserve"> | [http://atom.kaeri.re.kr/cgi-bin/nuclide?nuc=Xe-130 &lt;sub&gt;130&lt;/sub&gt;Xe] || 4,08 % || stabil || </v>
      </c>
      <c r="N289" t="str">
        <f t="shared" si="39"/>
        <v xml:space="preserve"> | [http://atom.kaeri.re.kr/cgi-bin/nuclide?nuc=Xe-130 &lt;sub&gt;130&lt;/sub&gt;Xe] || 4,08 % || stabil || &lt;br&gt; |-</v>
      </c>
    </row>
    <row r="290" spans="1:14" ht="15.9" customHeight="1">
      <c r="A290" s="73">
        <v>54</v>
      </c>
      <c r="B290" s="81" t="s">
        <v>124</v>
      </c>
      <c r="C290" s="73">
        <v>131</v>
      </c>
      <c r="D290" s="73">
        <v>21.18</v>
      </c>
      <c r="E290" t="s">
        <v>1175</v>
      </c>
      <c r="G290" t="str">
        <f t="shared" si="36"/>
        <v>[http://atom.kaeri.re.kr/cgi-bin/nuclide?nuc=Xe-131 &lt;sub&gt;131&lt;/sub&gt;Xe]</v>
      </c>
      <c r="H290" t="str">
        <f t="shared" si="37"/>
        <v>21,18 % || stabil</v>
      </c>
      <c r="I290" t="str">
        <f t="shared" si="38"/>
        <v xml:space="preserve"> | [http://atom.kaeri.re.kr/cgi-bin/nuclide?nuc=Xe-131 &lt;sub&gt;131&lt;/sub&gt;Xe] || 21,18 % || stabil || </v>
      </c>
      <c r="N290" t="str">
        <f t="shared" si="39"/>
        <v xml:space="preserve"> | [http://atom.kaeri.re.kr/cgi-bin/nuclide?nuc=Xe-131 &lt;sub&gt;131&lt;/sub&gt;Xe] || 21,18 % || stabil || &lt;br&gt; |-</v>
      </c>
    </row>
    <row r="291" spans="1:14" ht="15.9" customHeight="1">
      <c r="A291" s="73">
        <v>54</v>
      </c>
      <c r="B291" s="81" t="s">
        <v>124</v>
      </c>
      <c r="C291" s="73">
        <v>132</v>
      </c>
      <c r="D291" s="73">
        <v>26.89</v>
      </c>
      <c r="E291" t="s">
        <v>1175</v>
      </c>
      <c r="G291" t="str">
        <f t="shared" si="36"/>
        <v>[http://atom.kaeri.re.kr/cgi-bin/nuclide?nuc=Xe-132 &lt;sub&gt;132&lt;/sub&gt;Xe]</v>
      </c>
      <c r="H291" t="str">
        <f t="shared" si="37"/>
        <v>26,89 % || stabil</v>
      </c>
      <c r="I291" t="str">
        <f t="shared" si="38"/>
        <v xml:space="preserve"> | [http://atom.kaeri.re.kr/cgi-bin/nuclide?nuc=Xe-132 &lt;sub&gt;132&lt;/sub&gt;Xe] || 26,89 % || stabil || </v>
      </c>
      <c r="N291" t="str">
        <f t="shared" si="39"/>
        <v xml:space="preserve"> | [http://atom.kaeri.re.kr/cgi-bin/nuclide?nuc=Xe-132 &lt;sub&gt;132&lt;/sub&gt;Xe] || 26,89 % || stabil || &lt;br&gt; |-</v>
      </c>
    </row>
    <row r="292" spans="1:14" ht="15.9" customHeight="1">
      <c r="A292" s="73">
        <v>54</v>
      </c>
      <c r="B292" s="81" t="s">
        <v>124</v>
      </c>
      <c r="C292" s="73">
        <v>134</v>
      </c>
      <c r="D292" s="73">
        <v>10.44</v>
      </c>
      <c r="E292" t="s">
        <v>1175</v>
      </c>
      <c r="G292" t="str">
        <f t="shared" si="36"/>
        <v>[http://atom.kaeri.re.kr/cgi-bin/nuclide?nuc=Xe-134 &lt;sub&gt;134&lt;/sub&gt;Xe]</v>
      </c>
      <c r="H292" t="str">
        <f t="shared" si="37"/>
        <v>10,44 % || stabil</v>
      </c>
      <c r="I292" t="str">
        <f t="shared" si="38"/>
        <v xml:space="preserve"> | [http://atom.kaeri.re.kr/cgi-bin/nuclide?nuc=Xe-134 &lt;sub&gt;134&lt;/sub&gt;Xe] || 10,44 % || stabil || </v>
      </c>
      <c r="N292" t="str">
        <f t="shared" si="39"/>
        <v xml:space="preserve"> | [http://atom.kaeri.re.kr/cgi-bin/nuclide?nuc=Xe-134 &lt;sub&gt;134&lt;/sub&gt;Xe] || 10,44 % || stabil || &lt;br&gt; |-</v>
      </c>
    </row>
    <row r="293" spans="1:14" ht="15.9" customHeight="1">
      <c r="A293" s="73">
        <v>54</v>
      </c>
      <c r="B293" s="81" t="s">
        <v>124</v>
      </c>
      <c r="C293" s="73">
        <v>136</v>
      </c>
      <c r="D293" s="73">
        <v>8.8699999999999992</v>
      </c>
      <c r="E293" t="s">
        <v>1175</v>
      </c>
      <c r="G293" t="str">
        <f t="shared" si="36"/>
        <v>[http://atom.kaeri.re.kr/cgi-bin/nuclide?nuc=Xe-136 &lt;sub&gt;136&lt;/sub&gt;Xe]</v>
      </c>
      <c r="H293" t="str">
        <f t="shared" si="37"/>
        <v>8,87 % || stabil</v>
      </c>
      <c r="I293" t="str">
        <f t="shared" si="38"/>
        <v xml:space="preserve"> | [http://atom.kaeri.re.kr/cgi-bin/nuclide?nuc=Xe-136 &lt;sub&gt;136&lt;/sub&gt;Xe] || 8,87 % || stabil || </v>
      </c>
      <c r="N293" t="str">
        <f t="shared" si="39"/>
        <v xml:space="preserve"> | [http://atom.kaeri.re.kr/cgi-bin/nuclide?nuc=Xe-136 &lt;sub&gt;136&lt;/sub&gt;Xe] || 8,87 % || stabil || &lt;br&gt; |-</v>
      </c>
    </row>
    <row r="294" spans="1:14" ht="15.9" customHeight="1">
      <c r="A294">
        <v>54</v>
      </c>
      <c r="B294" s="83" t="s">
        <v>124</v>
      </c>
      <c r="C294">
        <v>999</v>
      </c>
      <c r="D294" t="s">
        <v>125</v>
      </c>
      <c r="E294" t="s">
        <v>1175</v>
      </c>
      <c r="N294" t="str">
        <f>CONCATENATE(" |}&lt;br&gt;* [http://atom.kaeri.re.kr/cgi-bin/nuclide?nuc=",B294," alle bekannten ",D294,"-Isotope]")</f>
        <v xml:space="preserve"> |}&lt;br&gt;* [http://atom.kaeri.re.kr/cgi-bin/nuclide?nuc=Xe alle bekannten Xenon-Isotope]</v>
      </c>
    </row>
    <row r="295" spans="1:14" ht="15.9" customHeight="1">
      <c r="A295">
        <v>55</v>
      </c>
      <c r="B295" s="83" t="s">
        <v>126</v>
      </c>
      <c r="C295" s="73">
        <v>0</v>
      </c>
      <c r="D295" t="s">
        <v>767</v>
      </c>
      <c r="E295" t="s">
        <v>1175</v>
      </c>
      <c r="N295" t="str">
        <f>CONCATENATE("=== [[",D295,"]] ===&lt;br&gt;{| {{tabelle}}&lt;br&gt;! Isotop !! ",$D$1," !! [[",$E$1,"]] !! ",$F$1," &lt;br&gt; |-")</f>
        <v>=== [[Caesium]] ===&lt;br&gt;{| {{tabelle}}&lt;br&gt;! Isotop !! natürliche Häufigkeit !! [[Halbwertszeit]] !! Herkunft, techn. Bedeutung &lt;br&gt; |-</v>
      </c>
    </row>
    <row r="296" spans="1:14" ht="15.9" customHeight="1">
      <c r="A296" s="73">
        <v>55</v>
      </c>
      <c r="B296" s="81" t="s">
        <v>126</v>
      </c>
      <c r="C296" s="73">
        <v>133</v>
      </c>
      <c r="D296" s="73">
        <v>100</v>
      </c>
      <c r="E296" t="s">
        <v>1175</v>
      </c>
      <c r="G296" t="str">
        <f>CONCATENATE("[","http://atom.kaeri.re.kr/cgi-bin/nuclide?nuc=",B296,"-",C296," &lt;sub&gt;",C296,"&lt;/sub&gt;",B296,"]")</f>
        <v>[http://atom.kaeri.re.kr/cgi-bin/nuclide?nuc=Cs-133 &lt;sub&gt;133&lt;/sub&gt;Cs]</v>
      </c>
      <c r="H296" t="str">
        <f>CONCATENATE(D296," % || ",E296)</f>
        <v>100 % || stabil</v>
      </c>
      <c r="I296" t="str">
        <f>CONCATENATE(" | ",G296," || ",H296," || ",F296)</f>
        <v xml:space="preserve"> | [http://atom.kaeri.re.kr/cgi-bin/nuclide?nuc=Cs-133 &lt;sub&gt;133&lt;/sub&gt;Cs] || 100 % || stabil || </v>
      </c>
      <c r="N296" t="str">
        <f>CONCATENATE(I296,"&lt;br&gt;"," |-")</f>
        <v xml:space="preserve"> | [http://atom.kaeri.re.kr/cgi-bin/nuclide?nuc=Cs-133 &lt;sub&gt;133&lt;/sub&gt;Cs] || 100 % || stabil || &lt;br&gt; |-</v>
      </c>
    </row>
    <row r="297" spans="1:14" s="78" customFormat="1" ht="15.9" customHeight="1">
      <c r="A297" s="73">
        <v>55</v>
      </c>
      <c r="B297" s="82" t="s">
        <v>126</v>
      </c>
      <c r="C297" s="79">
        <v>134</v>
      </c>
      <c r="D297" s="78" t="s">
        <v>1068</v>
      </c>
      <c r="E297" t="s">
        <v>1169</v>
      </c>
      <c r="F297" t="s">
        <v>1198</v>
      </c>
      <c r="G297" t="str">
        <f>CONCATENATE("[","http://atom.kaeri.re.kr/cgi-bin/nuclide?nuc=",B297,"-",C297," &lt;sub&gt;",C297,"&lt;/sub&gt;",B297,"]")</f>
        <v>[http://atom.kaeri.re.kr/cgi-bin/nuclide?nuc=Cs-134 &lt;sub&gt;134&lt;/sub&gt;Cs]</v>
      </c>
      <c r="H297" t="str">
        <f>CONCATENATE(D297," % || ",E297)</f>
        <v>- % || 2 Jahre</v>
      </c>
      <c r="I297" t="str">
        <f>CONCATENATE(" | ",G297," || ",H297," || ",F297)</f>
        <v xml:space="preserve"> | [http://atom.kaeri.re.kr/cgi-bin/nuclide?nuc=Cs-134 &lt;sub&gt;134&lt;/sub&gt;Cs] || - % || 2 Jahre || [[radioaktiv]], Kerntechnik, Tschernobyl</v>
      </c>
      <c r="J297"/>
      <c r="K297"/>
      <c r="L297"/>
      <c r="M297"/>
      <c r="N297" t="str">
        <f>CONCATENATE(I297,"&lt;br&gt;"," |-")</f>
        <v xml:space="preserve"> | [http://atom.kaeri.re.kr/cgi-bin/nuclide?nuc=Cs-134 &lt;sub&gt;134&lt;/sub&gt;Cs] || - % || 2 Jahre || [[radioaktiv]], Kerntechnik, Tschernobyl&lt;br&gt; |-</v>
      </c>
    </row>
    <row r="298" spans="1:14" s="78" customFormat="1" ht="15.9" customHeight="1">
      <c r="A298" s="73">
        <v>55</v>
      </c>
      <c r="B298" s="82" t="s">
        <v>126</v>
      </c>
      <c r="C298" s="79">
        <v>137</v>
      </c>
      <c r="D298" s="78" t="s">
        <v>1068</v>
      </c>
      <c r="E298" t="s">
        <v>1170</v>
      </c>
      <c r="F298" t="s">
        <v>1196</v>
      </c>
      <c r="G298" t="str">
        <f>CONCATENATE("[","http://atom.kaeri.re.kr/cgi-bin/nuclide?nuc=",B298,"-",C298," &lt;sub&gt;",C298,"&lt;/sub&gt;",B298,"]")</f>
        <v>[http://atom.kaeri.re.kr/cgi-bin/nuclide?nuc=Cs-137 &lt;sub&gt;137&lt;/sub&gt;Cs]</v>
      </c>
      <c r="H298" t="str">
        <f>CONCATENATE(D298," % || ",E298)</f>
        <v>- % || 30 Jahre</v>
      </c>
      <c r="I298" t="str">
        <f>CONCATENATE(" | ",G298," || ",H298," || ",F298)</f>
        <v xml:space="preserve"> | [http://atom.kaeri.re.kr/cgi-bin/nuclide?nuc=Cs-137 &lt;sub&gt;137&lt;/sub&gt;Cs] || - % || 30 Jahre || [[radioaktiv]], Kernwaffenfallout, Tschernobyl, Kerntechnik, Medizin</v>
      </c>
      <c r="J298"/>
      <c r="K298"/>
      <c r="L298"/>
      <c r="M298"/>
      <c r="N298" t="str">
        <f>CONCATENATE(I298,"&lt;br&gt;"," |-")</f>
        <v xml:space="preserve"> | [http://atom.kaeri.re.kr/cgi-bin/nuclide?nuc=Cs-137 &lt;sub&gt;137&lt;/sub&gt;Cs] || - % || 30 Jahre || [[radioaktiv]], Kernwaffenfallout, Tschernobyl, Kerntechnik, Medizin&lt;br&gt; |-</v>
      </c>
    </row>
    <row r="299" spans="1:14" ht="15.9" customHeight="1">
      <c r="A299">
        <v>55</v>
      </c>
      <c r="B299" s="83" t="s">
        <v>126</v>
      </c>
      <c r="C299">
        <v>999</v>
      </c>
      <c r="D299" t="s">
        <v>767</v>
      </c>
      <c r="E299" t="s">
        <v>1175</v>
      </c>
      <c r="N299" t="str">
        <f>CONCATENATE(" |}&lt;br&gt;* [http://atom.kaeri.re.kr/cgi-bin/nuclide?nuc=",B299," alle bekannten ",D299,"-Isotope]")</f>
        <v xml:space="preserve"> |}&lt;br&gt;* [http://atom.kaeri.re.kr/cgi-bin/nuclide?nuc=Cs alle bekannten Caesium-Isotope]</v>
      </c>
    </row>
    <row r="300" spans="1:14" ht="15.9" customHeight="1">
      <c r="A300">
        <v>56</v>
      </c>
      <c r="B300" s="83" t="s">
        <v>129</v>
      </c>
      <c r="C300" s="73">
        <v>0</v>
      </c>
      <c r="D300" t="s">
        <v>130</v>
      </c>
      <c r="E300" t="s">
        <v>1175</v>
      </c>
      <c r="N300" t="str">
        <f>CONCATENATE("=== [[",D300,"]] ===&lt;br&gt;{| {{tabelle}}&lt;br&gt;! Isotop !! ",$D$1," !! [[",$E$1,"]] !! ",$F$1," &lt;br&gt; |-")</f>
        <v>=== [[Barium]] ===&lt;br&gt;{| {{tabelle}}&lt;br&gt;! Isotop !! natürliche Häufigkeit !! [[Halbwertszeit]] !! Herkunft, techn. Bedeutung &lt;br&gt; |-</v>
      </c>
    </row>
    <row r="301" spans="1:14" ht="15.9" customHeight="1">
      <c r="A301" s="73">
        <v>56</v>
      </c>
      <c r="B301" s="81" t="s">
        <v>129</v>
      </c>
      <c r="C301" s="73">
        <v>130</v>
      </c>
      <c r="D301" s="73">
        <v>0.106</v>
      </c>
      <c r="E301" t="s">
        <v>1175</v>
      </c>
      <c r="G301" t="str">
        <f t="shared" ref="G301:G307" si="40">CONCATENATE("[","http://atom.kaeri.re.kr/cgi-bin/nuclide?nuc=",B301,"-",C301," &lt;sub&gt;",C301,"&lt;/sub&gt;",B301,"]")</f>
        <v>[http://atom.kaeri.re.kr/cgi-bin/nuclide?nuc=Ba-130 &lt;sub&gt;130&lt;/sub&gt;Ba]</v>
      </c>
      <c r="H301" t="str">
        <f t="shared" ref="H301:H307" si="41">CONCATENATE(D301," % || ",E301)</f>
        <v>0,106 % || stabil</v>
      </c>
      <c r="I301" t="str">
        <f t="shared" ref="I301:I307" si="42">CONCATENATE(" | ",G301," || ",H301," || ",F301)</f>
        <v xml:space="preserve"> | [http://atom.kaeri.re.kr/cgi-bin/nuclide?nuc=Ba-130 &lt;sub&gt;130&lt;/sub&gt;Ba] || 0,106 % || stabil || </v>
      </c>
      <c r="N301" t="str">
        <f t="shared" ref="N301:N307" si="43">CONCATENATE(I301,"&lt;br&gt;"," |-")</f>
        <v xml:space="preserve"> | [http://atom.kaeri.re.kr/cgi-bin/nuclide?nuc=Ba-130 &lt;sub&gt;130&lt;/sub&gt;Ba] || 0,106 % || stabil || &lt;br&gt; |-</v>
      </c>
    </row>
    <row r="302" spans="1:14" ht="15.9" customHeight="1">
      <c r="A302" s="73">
        <v>56</v>
      </c>
      <c r="B302" s="81" t="s">
        <v>129</v>
      </c>
      <c r="C302" s="73">
        <v>132</v>
      </c>
      <c r="D302" s="73">
        <v>0.10100000000000001</v>
      </c>
      <c r="E302" t="s">
        <v>1175</v>
      </c>
      <c r="G302" t="str">
        <f t="shared" si="40"/>
        <v>[http://atom.kaeri.re.kr/cgi-bin/nuclide?nuc=Ba-132 &lt;sub&gt;132&lt;/sub&gt;Ba]</v>
      </c>
      <c r="H302" t="str">
        <f t="shared" si="41"/>
        <v>0,101 % || stabil</v>
      </c>
      <c r="I302" t="str">
        <f t="shared" si="42"/>
        <v xml:space="preserve"> | [http://atom.kaeri.re.kr/cgi-bin/nuclide?nuc=Ba-132 &lt;sub&gt;132&lt;/sub&gt;Ba] || 0,101 % || stabil || </v>
      </c>
      <c r="N302" t="str">
        <f t="shared" si="43"/>
        <v xml:space="preserve"> | [http://atom.kaeri.re.kr/cgi-bin/nuclide?nuc=Ba-132 &lt;sub&gt;132&lt;/sub&gt;Ba] || 0,101 % || stabil || &lt;br&gt; |-</v>
      </c>
    </row>
    <row r="303" spans="1:14" ht="15.9" customHeight="1">
      <c r="A303" s="73">
        <v>56</v>
      </c>
      <c r="B303" s="81" t="s">
        <v>129</v>
      </c>
      <c r="C303" s="73">
        <v>134</v>
      </c>
      <c r="D303" s="73">
        <v>2.4169999999999998</v>
      </c>
      <c r="E303" t="s">
        <v>1175</v>
      </c>
      <c r="G303" t="str">
        <f t="shared" si="40"/>
        <v>[http://atom.kaeri.re.kr/cgi-bin/nuclide?nuc=Ba-134 &lt;sub&gt;134&lt;/sub&gt;Ba]</v>
      </c>
      <c r="H303" t="str">
        <f t="shared" si="41"/>
        <v>2,417 % || stabil</v>
      </c>
      <c r="I303" t="str">
        <f t="shared" si="42"/>
        <v xml:space="preserve"> | [http://atom.kaeri.re.kr/cgi-bin/nuclide?nuc=Ba-134 &lt;sub&gt;134&lt;/sub&gt;Ba] || 2,417 % || stabil || </v>
      </c>
      <c r="N303" t="str">
        <f t="shared" si="43"/>
        <v xml:space="preserve"> | [http://atom.kaeri.re.kr/cgi-bin/nuclide?nuc=Ba-134 &lt;sub&gt;134&lt;/sub&gt;Ba] || 2,417 % || stabil || &lt;br&gt; |-</v>
      </c>
    </row>
    <row r="304" spans="1:14" ht="15.9" customHeight="1">
      <c r="A304" s="73">
        <v>56</v>
      </c>
      <c r="B304" s="81" t="s">
        <v>129</v>
      </c>
      <c r="C304" s="73">
        <v>135</v>
      </c>
      <c r="D304" s="73">
        <v>6.5919999999999996</v>
      </c>
      <c r="E304" t="s">
        <v>1175</v>
      </c>
      <c r="G304" t="str">
        <f t="shared" si="40"/>
        <v>[http://atom.kaeri.re.kr/cgi-bin/nuclide?nuc=Ba-135 &lt;sub&gt;135&lt;/sub&gt;Ba]</v>
      </c>
      <c r="H304" t="str">
        <f t="shared" si="41"/>
        <v>6,592 % || stabil</v>
      </c>
      <c r="I304" t="str">
        <f t="shared" si="42"/>
        <v xml:space="preserve"> | [http://atom.kaeri.re.kr/cgi-bin/nuclide?nuc=Ba-135 &lt;sub&gt;135&lt;/sub&gt;Ba] || 6,592 % || stabil || </v>
      </c>
      <c r="N304" t="str">
        <f t="shared" si="43"/>
        <v xml:space="preserve"> | [http://atom.kaeri.re.kr/cgi-bin/nuclide?nuc=Ba-135 &lt;sub&gt;135&lt;/sub&gt;Ba] || 6,592 % || stabil || &lt;br&gt; |-</v>
      </c>
    </row>
    <row r="305" spans="1:14" ht="15.9" customHeight="1">
      <c r="A305" s="73">
        <v>56</v>
      </c>
      <c r="B305" s="81" t="s">
        <v>129</v>
      </c>
      <c r="C305" s="73">
        <v>136</v>
      </c>
      <c r="D305" s="73">
        <v>7.8540000000000001</v>
      </c>
      <c r="E305" t="s">
        <v>1175</v>
      </c>
      <c r="G305" t="str">
        <f t="shared" si="40"/>
        <v>[http://atom.kaeri.re.kr/cgi-bin/nuclide?nuc=Ba-136 &lt;sub&gt;136&lt;/sub&gt;Ba]</v>
      </c>
      <c r="H305" t="str">
        <f t="shared" si="41"/>
        <v>7,854 % || stabil</v>
      </c>
      <c r="I305" t="str">
        <f t="shared" si="42"/>
        <v xml:space="preserve"> | [http://atom.kaeri.re.kr/cgi-bin/nuclide?nuc=Ba-136 &lt;sub&gt;136&lt;/sub&gt;Ba] || 7,854 % || stabil || </v>
      </c>
      <c r="N305" t="str">
        <f t="shared" si="43"/>
        <v xml:space="preserve"> | [http://atom.kaeri.re.kr/cgi-bin/nuclide?nuc=Ba-136 &lt;sub&gt;136&lt;/sub&gt;Ba] || 7,854 % || stabil || &lt;br&gt; |-</v>
      </c>
    </row>
    <row r="306" spans="1:14" ht="15.9" customHeight="1">
      <c r="A306" s="73">
        <v>56</v>
      </c>
      <c r="B306" s="81" t="s">
        <v>129</v>
      </c>
      <c r="C306" s="73">
        <v>137</v>
      </c>
      <c r="D306" s="73">
        <v>11.231999999999999</v>
      </c>
      <c r="E306" t="s">
        <v>1175</v>
      </c>
      <c r="G306" t="str">
        <f t="shared" si="40"/>
        <v>[http://atom.kaeri.re.kr/cgi-bin/nuclide?nuc=Ba-137 &lt;sub&gt;137&lt;/sub&gt;Ba]</v>
      </c>
      <c r="H306" t="str">
        <f t="shared" si="41"/>
        <v>11,232 % || stabil</v>
      </c>
      <c r="I306" t="str">
        <f t="shared" si="42"/>
        <v xml:space="preserve"> | [http://atom.kaeri.re.kr/cgi-bin/nuclide?nuc=Ba-137 &lt;sub&gt;137&lt;/sub&gt;Ba] || 11,232 % || stabil || </v>
      </c>
      <c r="N306" t="str">
        <f t="shared" si="43"/>
        <v xml:space="preserve"> | [http://atom.kaeri.re.kr/cgi-bin/nuclide?nuc=Ba-137 &lt;sub&gt;137&lt;/sub&gt;Ba] || 11,232 % || stabil || &lt;br&gt; |-</v>
      </c>
    </row>
    <row r="307" spans="1:14" ht="15.9" customHeight="1">
      <c r="A307" s="73">
        <v>56</v>
      </c>
      <c r="B307" s="81" t="s">
        <v>129</v>
      </c>
      <c r="C307" s="73">
        <v>138</v>
      </c>
      <c r="D307" s="73">
        <v>71.697999999999993</v>
      </c>
      <c r="E307" t="s">
        <v>1175</v>
      </c>
      <c r="G307" t="str">
        <f t="shared" si="40"/>
        <v>[http://atom.kaeri.re.kr/cgi-bin/nuclide?nuc=Ba-138 &lt;sub&gt;138&lt;/sub&gt;Ba]</v>
      </c>
      <c r="H307" t="str">
        <f t="shared" si="41"/>
        <v>71,698 % || stabil</v>
      </c>
      <c r="I307" t="str">
        <f t="shared" si="42"/>
        <v xml:space="preserve"> | [http://atom.kaeri.re.kr/cgi-bin/nuclide?nuc=Ba-138 &lt;sub&gt;138&lt;/sub&gt;Ba] || 71,698 % || stabil || </v>
      </c>
      <c r="N307" t="str">
        <f t="shared" si="43"/>
        <v xml:space="preserve"> | [http://atom.kaeri.re.kr/cgi-bin/nuclide?nuc=Ba-138 &lt;sub&gt;138&lt;/sub&gt;Ba] || 71,698 % || stabil || &lt;br&gt; |-</v>
      </c>
    </row>
    <row r="308" spans="1:14" ht="15.9" customHeight="1">
      <c r="A308">
        <v>56</v>
      </c>
      <c r="B308" s="83" t="s">
        <v>129</v>
      </c>
      <c r="C308">
        <v>999</v>
      </c>
      <c r="D308" t="s">
        <v>130</v>
      </c>
      <c r="E308" t="s">
        <v>1175</v>
      </c>
      <c r="N308" t="str">
        <f>CONCATENATE(" |}&lt;br&gt;* [http://atom.kaeri.re.kr/cgi-bin/nuclide?nuc=",B308," alle bekannten ",D308,"-Isotope]")</f>
        <v xml:space="preserve"> |}&lt;br&gt;* [http://atom.kaeri.re.kr/cgi-bin/nuclide?nuc=Ba alle bekannten Barium-Isotope]</v>
      </c>
    </row>
    <row r="309" spans="1:14" ht="15.9" customHeight="1">
      <c r="A309">
        <v>57</v>
      </c>
      <c r="B309" s="83" t="s">
        <v>308</v>
      </c>
      <c r="C309" s="73">
        <v>0</v>
      </c>
      <c r="D309" t="s">
        <v>309</v>
      </c>
      <c r="E309" t="s">
        <v>1175</v>
      </c>
      <c r="N309" t="str">
        <f>CONCATENATE("=== [[",D309,"]] ===&lt;br&gt;{| {{tabelle}}&lt;br&gt;! Isotop !! ",$D$1," !! [[",$E$1,"]] !! ",$F$1," &lt;br&gt; |-")</f>
        <v>=== [[Lanthan]] ===&lt;br&gt;{| {{tabelle}}&lt;br&gt;! Isotop !! natürliche Häufigkeit !! [[Halbwertszeit]] !! Herkunft, techn. Bedeutung &lt;br&gt; |-</v>
      </c>
    </row>
    <row r="310" spans="1:14" ht="15.9" customHeight="1">
      <c r="A310" s="73">
        <v>57</v>
      </c>
      <c r="B310" s="81" t="s">
        <v>308</v>
      </c>
      <c r="C310" s="73">
        <v>138</v>
      </c>
      <c r="D310" s="73">
        <v>0.09</v>
      </c>
      <c r="E310" t="s">
        <v>1175</v>
      </c>
      <c r="G310" t="str">
        <f>CONCATENATE("[","http://atom.kaeri.re.kr/cgi-bin/nuclide?nuc=",B310,"-",C310," &lt;sub&gt;",C310,"&lt;/sub&gt;",B310,"]")</f>
        <v>[http://atom.kaeri.re.kr/cgi-bin/nuclide?nuc=La-138 &lt;sub&gt;138&lt;/sub&gt;La]</v>
      </c>
      <c r="H310" t="str">
        <f>CONCATENATE(D310," % || ",E310)</f>
        <v>0,09 % || stabil</v>
      </c>
      <c r="I310" t="str">
        <f>CONCATENATE(" | ",G310," || ",H310," || ",F310)</f>
        <v xml:space="preserve"> | [http://atom.kaeri.re.kr/cgi-bin/nuclide?nuc=La-138 &lt;sub&gt;138&lt;/sub&gt;La] || 0,09 % || stabil || </v>
      </c>
      <c r="N310" t="str">
        <f>CONCATENATE(I310,"&lt;br&gt;"," |-")</f>
        <v xml:space="preserve"> | [http://atom.kaeri.re.kr/cgi-bin/nuclide?nuc=La-138 &lt;sub&gt;138&lt;/sub&gt;La] || 0,09 % || stabil || &lt;br&gt; |-</v>
      </c>
    </row>
    <row r="311" spans="1:14" ht="15.9" customHeight="1">
      <c r="A311" s="73">
        <v>57</v>
      </c>
      <c r="B311" s="81" t="s">
        <v>308</v>
      </c>
      <c r="C311" s="73">
        <v>139</v>
      </c>
      <c r="D311" s="73">
        <v>99.91</v>
      </c>
      <c r="E311" t="s">
        <v>1175</v>
      </c>
      <c r="G311" t="str">
        <f>CONCATENATE("[","http://atom.kaeri.re.kr/cgi-bin/nuclide?nuc=",B311,"-",C311," &lt;sub&gt;",C311,"&lt;/sub&gt;",B311,"]")</f>
        <v>[http://atom.kaeri.re.kr/cgi-bin/nuclide?nuc=La-139 &lt;sub&gt;139&lt;/sub&gt;La]</v>
      </c>
      <c r="H311" t="str">
        <f>CONCATENATE(D311," % || ",E311)</f>
        <v>99,91 % || stabil</v>
      </c>
      <c r="I311" t="str">
        <f>CONCATENATE(" | ",G311," || ",H311," || ",F311)</f>
        <v xml:space="preserve"> | [http://atom.kaeri.re.kr/cgi-bin/nuclide?nuc=La-139 &lt;sub&gt;139&lt;/sub&gt;La] || 99,91 % || stabil || </v>
      </c>
      <c r="N311" t="str">
        <f>CONCATENATE(I311,"&lt;br&gt;"," |-")</f>
        <v xml:space="preserve"> | [http://atom.kaeri.re.kr/cgi-bin/nuclide?nuc=La-139 &lt;sub&gt;139&lt;/sub&gt;La] || 99,91 % || stabil || &lt;br&gt; |-</v>
      </c>
    </row>
    <row r="312" spans="1:14" ht="15.9" customHeight="1">
      <c r="A312">
        <v>57</v>
      </c>
      <c r="B312" s="83" t="s">
        <v>308</v>
      </c>
      <c r="C312">
        <v>999</v>
      </c>
      <c r="D312" t="s">
        <v>309</v>
      </c>
      <c r="E312" t="s">
        <v>1175</v>
      </c>
      <c r="N312" t="str">
        <f>CONCATENATE(" |}&lt;br&gt;* [http://atom.kaeri.re.kr/cgi-bin/nuclide?nuc=",B312," alle bekannten ",D312,"-Isotope]")</f>
        <v xml:space="preserve"> |}&lt;br&gt;* [http://atom.kaeri.re.kr/cgi-bin/nuclide?nuc=La alle bekannten Lanthan-Isotope]</v>
      </c>
    </row>
    <row r="313" spans="1:14" ht="15.9" customHeight="1">
      <c r="A313">
        <v>58</v>
      </c>
      <c r="B313" s="83" t="s">
        <v>310</v>
      </c>
      <c r="C313" s="73">
        <v>0</v>
      </c>
      <c r="D313" t="s">
        <v>311</v>
      </c>
      <c r="E313" t="s">
        <v>1175</v>
      </c>
      <c r="N313" t="str">
        <f>CONCATENATE("=== [[",D313,"]] ===&lt;br&gt;{| {{tabelle}}&lt;br&gt;! Isotop !! ",$D$1," !! [[",$E$1,"]] !! ",$F$1," &lt;br&gt; |-")</f>
        <v>=== [[Cer]] ===&lt;br&gt;{| {{tabelle}}&lt;br&gt;! Isotop !! natürliche Häufigkeit !! [[Halbwertszeit]] !! Herkunft, techn. Bedeutung &lt;br&gt; |-</v>
      </c>
    </row>
    <row r="314" spans="1:14" ht="15.9" customHeight="1">
      <c r="A314" s="73">
        <v>58</v>
      </c>
      <c r="B314" s="81" t="s">
        <v>310</v>
      </c>
      <c r="C314" s="73">
        <v>136</v>
      </c>
      <c r="D314" s="73">
        <v>0.185</v>
      </c>
      <c r="E314" t="s">
        <v>1175</v>
      </c>
      <c r="G314" t="str">
        <f>CONCATENATE("[","http://atom.kaeri.re.kr/cgi-bin/nuclide?nuc=",B314,"-",C314," &lt;sub&gt;",C314,"&lt;/sub&gt;",B314,"]")</f>
        <v>[http://atom.kaeri.re.kr/cgi-bin/nuclide?nuc=Ce-136 &lt;sub&gt;136&lt;/sub&gt;Ce]</v>
      </c>
      <c r="H314" t="str">
        <f>CONCATENATE(D314," % || ",E314)</f>
        <v>0,185 % || stabil</v>
      </c>
      <c r="I314" t="str">
        <f>CONCATENATE(" | ",G314," || ",H314," || ",F314)</f>
        <v xml:space="preserve"> | [http://atom.kaeri.re.kr/cgi-bin/nuclide?nuc=Ce-136 &lt;sub&gt;136&lt;/sub&gt;Ce] || 0,185 % || stabil || </v>
      </c>
      <c r="N314" t="str">
        <f>CONCATENATE(I314,"&lt;br&gt;"," |-")</f>
        <v xml:space="preserve"> | [http://atom.kaeri.re.kr/cgi-bin/nuclide?nuc=Ce-136 &lt;sub&gt;136&lt;/sub&gt;Ce] || 0,185 % || stabil || &lt;br&gt; |-</v>
      </c>
    </row>
    <row r="315" spans="1:14" ht="15.9" customHeight="1">
      <c r="A315" s="73">
        <v>58</v>
      </c>
      <c r="B315" s="81" t="s">
        <v>310</v>
      </c>
      <c r="C315" s="73">
        <v>138</v>
      </c>
      <c r="D315" s="73">
        <v>0.251</v>
      </c>
      <c r="E315" t="s">
        <v>1175</v>
      </c>
      <c r="G315" t="str">
        <f>CONCATENATE("[","http://atom.kaeri.re.kr/cgi-bin/nuclide?nuc=",B315,"-",C315," &lt;sub&gt;",C315,"&lt;/sub&gt;",B315,"]")</f>
        <v>[http://atom.kaeri.re.kr/cgi-bin/nuclide?nuc=Ce-138 &lt;sub&gt;138&lt;/sub&gt;Ce]</v>
      </c>
      <c r="H315" t="str">
        <f>CONCATENATE(D315," % || ",E315)</f>
        <v>0,251 % || stabil</v>
      </c>
      <c r="I315" t="str">
        <f>CONCATENATE(" | ",G315," || ",H315," || ",F315)</f>
        <v xml:space="preserve"> | [http://atom.kaeri.re.kr/cgi-bin/nuclide?nuc=Ce-138 &lt;sub&gt;138&lt;/sub&gt;Ce] || 0,251 % || stabil || </v>
      </c>
      <c r="N315" t="str">
        <f>CONCATENATE(I315,"&lt;br&gt;"," |-")</f>
        <v xml:space="preserve"> | [http://atom.kaeri.re.kr/cgi-bin/nuclide?nuc=Ce-138 &lt;sub&gt;138&lt;/sub&gt;Ce] || 0,251 % || stabil || &lt;br&gt; |-</v>
      </c>
    </row>
    <row r="316" spans="1:14" ht="15.9" customHeight="1">
      <c r="A316" s="73">
        <v>58</v>
      </c>
      <c r="B316" s="81" t="s">
        <v>310</v>
      </c>
      <c r="C316" s="73">
        <v>140</v>
      </c>
      <c r="D316" s="73">
        <v>88.45</v>
      </c>
      <c r="E316" t="s">
        <v>1175</v>
      </c>
      <c r="G316" t="str">
        <f>CONCATENATE("[","http://atom.kaeri.re.kr/cgi-bin/nuclide?nuc=",B316,"-",C316," &lt;sub&gt;",C316,"&lt;/sub&gt;",B316,"]")</f>
        <v>[http://atom.kaeri.re.kr/cgi-bin/nuclide?nuc=Ce-140 &lt;sub&gt;140&lt;/sub&gt;Ce]</v>
      </c>
      <c r="H316" t="str">
        <f>CONCATENATE(D316," % || ",E316)</f>
        <v>88,45 % || stabil</v>
      </c>
      <c r="I316" t="str">
        <f>CONCATENATE(" | ",G316," || ",H316," || ",F316)</f>
        <v xml:space="preserve"> | [http://atom.kaeri.re.kr/cgi-bin/nuclide?nuc=Ce-140 &lt;sub&gt;140&lt;/sub&gt;Ce] || 88,45 % || stabil || </v>
      </c>
      <c r="N316" t="str">
        <f>CONCATENATE(I316,"&lt;br&gt;"," |-")</f>
        <v xml:space="preserve"> | [http://atom.kaeri.re.kr/cgi-bin/nuclide?nuc=Ce-140 &lt;sub&gt;140&lt;/sub&gt;Ce] || 88,45 % || stabil || &lt;br&gt; |-</v>
      </c>
    </row>
    <row r="317" spans="1:14" ht="15.9" customHeight="1">
      <c r="A317" s="73">
        <v>58</v>
      </c>
      <c r="B317" s="81" t="s">
        <v>310</v>
      </c>
      <c r="C317" s="73">
        <v>142</v>
      </c>
      <c r="D317" s="73">
        <v>11.114000000000001</v>
      </c>
      <c r="E317" t="s">
        <v>1175</v>
      </c>
      <c r="G317" t="str">
        <f>CONCATENATE("[","http://atom.kaeri.re.kr/cgi-bin/nuclide?nuc=",B317,"-",C317," &lt;sub&gt;",C317,"&lt;/sub&gt;",B317,"]")</f>
        <v>[http://atom.kaeri.re.kr/cgi-bin/nuclide?nuc=Ce-142 &lt;sub&gt;142&lt;/sub&gt;Ce]</v>
      </c>
      <c r="H317" t="str">
        <f>CONCATENATE(D317," % || ",E317)</f>
        <v>11,114 % || stabil</v>
      </c>
      <c r="I317" t="str">
        <f>CONCATENATE(" | ",G317," || ",H317," || ",F317)</f>
        <v xml:space="preserve"> | [http://atom.kaeri.re.kr/cgi-bin/nuclide?nuc=Ce-142 &lt;sub&gt;142&lt;/sub&gt;Ce] || 11,114 % || stabil || </v>
      </c>
      <c r="N317" t="str">
        <f>CONCATENATE(I317,"&lt;br&gt;"," |-")</f>
        <v xml:space="preserve"> | [http://atom.kaeri.re.kr/cgi-bin/nuclide?nuc=Ce-142 &lt;sub&gt;142&lt;/sub&gt;Ce] || 11,114 % || stabil || &lt;br&gt; |-</v>
      </c>
    </row>
    <row r="318" spans="1:14" ht="15.9" customHeight="1">
      <c r="A318">
        <v>58</v>
      </c>
      <c r="B318" s="83" t="s">
        <v>310</v>
      </c>
      <c r="C318">
        <v>999</v>
      </c>
      <c r="D318" t="s">
        <v>311</v>
      </c>
      <c r="E318" t="s">
        <v>1175</v>
      </c>
      <c r="N318" t="str">
        <f>CONCATENATE(" |}&lt;br&gt;* [http://atom.kaeri.re.kr/cgi-bin/nuclide?nuc=",B318," alle bekannten ",D318,"-Isotope]")</f>
        <v xml:space="preserve"> |}&lt;br&gt;* [http://atom.kaeri.re.kr/cgi-bin/nuclide?nuc=Ce alle bekannten Cer-Isotope]</v>
      </c>
    </row>
    <row r="319" spans="1:14" ht="15.9" customHeight="1">
      <c r="A319">
        <v>59</v>
      </c>
      <c r="B319" s="83" t="s">
        <v>312</v>
      </c>
      <c r="C319" s="73">
        <v>0</v>
      </c>
      <c r="D319" t="s">
        <v>313</v>
      </c>
      <c r="E319" t="s">
        <v>1175</v>
      </c>
      <c r="N319" t="str">
        <f>CONCATENATE("=== [[",D319,"]] ===&lt;br&gt;{| {{tabelle}}&lt;br&gt;! Isotop !! ",$D$1," !! [[",$E$1,"]] !! ",$F$1," &lt;br&gt; |-")</f>
        <v>=== [[Praseodym]] ===&lt;br&gt;{| {{tabelle}}&lt;br&gt;! Isotop !! natürliche Häufigkeit !! [[Halbwertszeit]] !! Herkunft, techn. Bedeutung &lt;br&gt; |-</v>
      </c>
    </row>
    <row r="320" spans="1:14" ht="15.9" customHeight="1">
      <c r="A320" s="73">
        <v>59</v>
      </c>
      <c r="B320" s="81" t="s">
        <v>312</v>
      </c>
      <c r="C320" s="73">
        <v>141</v>
      </c>
      <c r="D320" s="73">
        <v>100</v>
      </c>
      <c r="E320" t="s">
        <v>1175</v>
      </c>
      <c r="G320" t="str">
        <f>CONCATENATE("[","http://atom.kaeri.re.kr/cgi-bin/nuclide?nuc=",B320,"-",C320," &lt;sub&gt;",C320,"&lt;/sub&gt;",B320,"]")</f>
        <v>[http://atom.kaeri.re.kr/cgi-bin/nuclide?nuc=Pr-141 &lt;sub&gt;141&lt;/sub&gt;Pr]</v>
      </c>
      <c r="H320" t="str">
        <f>CONCATENATE(D320," % || ",E320)</f>
        <v>100 % || stabil</v>
      </c>
      <c r="I320" t="str">
        <f>CONCATENATE(" | ",G320," || ",H320," || ",F320)</f>
        <v xml:space="preserve"> | [http://atom.kaeri.re.kr/cgi-bin/nuclide?nuc=Pr-141 &lt;sub&gt;141&lt;/sub&gt;Pr] || 100 % || stabil || </v>
      </c>
      <c r="N320" t="str">
        <f>CONCATENATE(I320,"&lt;br&gt;"," |-")</f>
        <v xml:space="preserve"> | [http://atom.kaeri.re.kr/cgi-bin/nuclide?nuc=Pr-141 &lt;sub&gt;141&lt;/sub&gt;Pr] || 100 % || stabil || &lt;br&gt; |-</v>
      </c>
    </row>
    <row r="321" spans="1:14" ht="15.9" customHeight="1">
      <c r="A321">
        <v>59</v>
      </c>
      <c r="B321" s="83" t="s">
        <v>312</v>
      </c>
      <c r="C321">
        <v>999</v>
      </c>
      <c r="D321" t="s">
        <v>313</v>
      </c>
      <c r="E321" t="s">
        <v>1175</v>
      </c>
      <c r="N321" t="str">
        <f>CONCATENATE(" |}&lt;br&gt;* [http://atom.kaeri.re.kr/cgi-bin/nuclide?nuc=",B321," alle bekannten ",D321,"-Isotope]")</f>
        <v xml:space="preserve"> |}&lt;br&gt;* [http://atom.kaeri.re.kr/cgi-bin/nuclide?nuc=Pr alle bekannten Praseodym-Isotope]</v>
      </c>
    </row>
    <row r="322" spans="1:14" ht="15.9" customHeight="1">
      <c r="A322">
        <v>60</v>
      </c>
      <c r="B322" s="83" t="s">
        <v>316</v>
      </c>
      <c r="C322" s="73">
        <v>0</v>
      </c>
      <c r="D322" t="s">
        <v>317</v>
      </c>
      <c r="E322" t="s">
        <v>1175</v>
      </c>
      <c r="N322" t="str">
        <f>CONCATENATE("=== [[",D322,"]] ===&lt;br&gt;{| {{tabelle}}&lt;br&gt;! Isotop !! ",$D$1," !! [[",$E$1,"]] !! ",$F$1," &lt;br&gt; |-")</f>
        <v>=== [[Neodym]] ===&lt;br&gt;{| {{tabelle}}&lt;br&gt;! Isotop !! natürliche Häufigkeit !! [[Halbwertszeit]] !! Herkunft, techn. Bedeutung &lt;br&gt; |-</v>
      </c>
    </row>
    <row r="323" spans="1:14" ht="15.9" customHeight="1">
      <c r="A323" s="73">
        <v>60</v>
      </c>
      <c r="B323" s="81" t="s">
        <v>316</v>
      </c>
      <c r="C323" s="73">
        <v>142</v>
      </c>
      <c r="D323" s="73">
        <v>27.2</v>
      </c>
      <c r="E323" t="s">
        <v>1175</v>
      </c>
      <c r="G323" t="str">
        <f t="shared" ref="G323:G329" si="44">CONCATENATE("[","http://atom.kaeri.re.kr/cgi-bin/nuclide?nuc=",B323,"-",C323," &lt;sub&gt;",C323,"&lt;/sub&gt;",B323,"]")</f>
        <v>[http://atom.kaeri.re.kr/cgi-bin/nuclide?nuc=Nd-142 &lt;sub&gt;142&lt;/sub&gt;Nd]</v>
      </c>
      <c r="H323" t="str">
        <f t="shared" ref="H323:H329" si="45">CONCATENATE(D323," % || ",E323)</f>
        <v>27,2 % || stabil</v>
      </c>
      <c r="I323" t="str">
        <f t="shared" ref="I323:I329" si="46">CONCATENATE(" | ",G323," || ",H323," || ",F323)</f>
        <v xml:space="preserve"> | [http://atom.kaeri.re.kr/cgi-bin/nuclide?nuc=Nd-142 &lt;sub&gt;142&lt;/sub&gt;Nd] || 27,2 % || stabil || </v>
      </c>
      <c r="N323" t="str">
        <f t="shared" ref="N323:N329" si="47">CONCATENATE(I323,"&lt;br&gt;"," |-")</f>
        <v xml:space="preserve"> | [http://atom.kaeri.re.kr/cgi-bin/nuclide?nuc=Nd-142 &lt;sub&gt;142&lt;/sub&gt;Nd] || 27,2 % || stabil || &lt;br&gt; |-</v>
      </c>
    </row>
    <row r="324" spans="1:14" ht="15.9" customHeight="1">
      <c r="A324" s="73">
        <v>60</v>
      </c>
      <c r="B324" s="81" t="s">
        <v>316</v>
      </c>
      <c r="C324" s="73">
        <v>143</v>
      </c>
      <c r="D324" s="73">
        <v>12.2</v>
      </c>
      <c r="E324" t="s">
        <v>1175</v>
      </c>
      <c r="G324" t="str">
        <f t="shared" si="44"/>
        <v>[http://atom.kaeri.re.kr/cgi-bin/nuclide?nuc=Nd-143 &lt;sub&gt;143&lt;/sub&gt;Nd]</v>
      </c>
      <c r="H324" t="str">
        <f t="shared" si="45"/>
        <v>12,2 % || stabil</v>
      </c>
      <c r="I324" t="str">
        <f t="shared" si="46"/>
        <v xml:space="preserve"> | [http://atom.kaeri.re.kr/cgi-bin/nuclide?nuc=Nd-143 &lt;sub&gt;143&lt;/sub&gt;Nd] || 12,2 % || stabil || </v>
      </c>
      <c r="N324" t="str">
        <f t="shared" si="47"/>
        <v xml:space="preserve"> | [http://atom.kaeri.re.kr/cgi-bin/nuclide?nuc=Nd-143 &lt;sub&gt;143&lt;/sub&gt;Nd] || 12,2 % || stabil || &lt;br&gt; |-</v>
      </c>
    </row>
    <row r="325" spans="1:14" ht="15.9" customHeight="1">
      <c r="A325" s="73">
        <v>60</v>
      </c>
      <c r="B325" s="81" t="s">
        <v>316</v>
      </c>
      <c r="C325" s="73">
        <v>144</v>
      </c>
      <c r="D325" s="73">
        <v>23.8</v>
      </c>
      <c r="E325" t="s">
        <v>1175</v>
      </c>
      <c r="G325" t="str">
        <f t="shared" si="44"/>
        <v>[http://atom.kaeri.re.kr/cgi-bin/nuclide?nuc=Nd-144 &lt;sub&gt;144&lt;/sub&gt;Nd]</v>
      </c>
      <c r="H325" t="str">
        <f t="shared" si="45"/>
        <v>23,8 % || stabil</v>
      </c>
      <c r="I325" t="str">
        <f t="shared" si="46"/>
        <v xml:space="preserve"> | [http://atom.kaeri.re.kr/cgi-bin/nuclide?nuc=Nd-144 &lt;sub&gt;144&lt;/sub&gt;Nd] || 23,8 % || stabil || </v>
      </c>
      <c r="N325" t="str">
        <f t="shared" si="47"/>
        <v xml:space="preserve"> | [http://atom.kaeri.re.kr/cgi-bin/nuclide?nuc=Nd-144 &lt;sub&gt;144&lt;/sub&gt;Nd] || 23,8 % || stabil || &lt;br&gt; |-</v>
      </c>
    </row>
    <row r="326" spans="1:14" ht="15.9" customHeight="1">
      <c r="A326" s="73">
        <v>60</v>
      </c>
      <c r="B326" s="81" t="s">
        <v>316</v>
      </c>
      <c r="C326" s="73">
        <v>145</v>
      </c>
      <c r="D326" s="73">
        <v>8.3000000000000007</v>
      </c>
      <c r="E326" t="s">
        <v>1175</v>
      </c>
      <c r="G326" t="str">
        <f t="shared" si="44"/>
        <v>[http://atom.kaeri.re.kr/cgi-bin/nuclide?nuc=Nd-145 &lt;sub&gt;145&lt;/sub&gt;Nd]</v>
      </c>
      <c r="H326" t="str">
        <f t="shared" si="45"/>
        <v>8,3 % || stabil</v>
      </c>
      <c r="I326" t="str">
        <f t="shared" si="46"/>
        <v xml:space="preserve"> | [http://atom.kaeri.re.kr/cgi-bin/nuclide?nuc=Nd-145 &lt;sub&gt;145&lt;/sub&gt;Nd] || 8,3 % || stabil || </v>
      </c>
      <c r="N326" t="str">
        <f t="shared" si="47"/>
        <v xml:space="preserve"> | [http://atom.kaeri.re.kr/cgi-bin/nuclide?nuc=Nd-145 &lt;sub&gt;145&lt;/sub&gt;Nd] || 8,3 % || stabil || &lt;br&gt; |-</v>
      </c>
    </row>
    <row r="327" spans="1:14" ht="15.9" customHeight="1">
      <c r="A327" s="73">
        <v>60</v>
      </c>
      <c r="B327" s="81" t="s">
        <v>316</v>
      </c>
      <c r="C327" s="73">
        <v>146</v>
      </c>
      <c r="D327" s="73">
        <v>17.2</v>
      </c>
      <c r="E327" t="s">
        <v>1175</v>
      </c>
      <c r="G327" t="str">
        <f t="shared" si="44"/>
        <v>[http://atom.kaeri.re.kr/cgi-bin/nuclide?nuc=Nd-146 &lt;sub&gt;146&lt;/sub&gt;Nd]</v>
      </c>
      <c r="H327" t="str">
        <f t="shared" si="45"/>
        <v>17,2 % || stabil</v>
      </c>
      <c r="I327" t="str">
        <f t="shared" si="46"/>
        <v xml:space="preserve"> | [http://atom.kaeri.re.kr/cgi-bin/nuclide?nuc=Nd-146 &lt;sub&gt;146&lt;/sub&gt;Nd] || 17,2 % || stabil || </v>
      </c>
      <c r="N327" t="str">
        <f t="shared" si="47"/>
        <v xml:space="preserve"> | [http://atom.kaeri.re.kr/cgi-bin/nuclide?nuc=Nd-146 &lt;sub&gt;146&lt;/sub&gt;Nd] || 17,2 % || stabil || &lt;br&gt; |-</v>
      </c>
    </row>
    <row r="328" spans="1:14" ht="15.9" customHeight="1">
      <c r="A328" s="73">
        <v>60</v>
      </c>
      <c r="B328" s="81" t="s">
        <v>316</v>
      </c>
      <c r="C328" s="73">
        <v>148</v>
      </c>
      <c r="D328" s="73">
        <v>5.7</v>
      </c>
      <c r="E328" t="s">
        <v>1175</v>
      </c>
      <c r="G328" t="str">
        <f t="shared" si="44"/>
        <v>[http://atom.kaeri.re.kr/cgi-bin/nuclide?nuc=Nd-148 &lt;sub&gt;148&lt;/sub&gt;Nd]</v>
      </c>
      <c r="H328" t="str">
        <f t="shared" si="45"/>
        <v>5,7 % || stabil</v>
      </c>
      <c r="I328" t="str">
        <f t="shared" si="46"/>
        <v xml:space="preserve"> | [http://atom.kaeri.re.kr/cgi-bin/nuclide?nuc=Nd-148 &lt;sub&gt;148&lt;/sub&gt;Nd] || 5,7 % || stabil || </v>
      </c>
      <c r="N328" t="str">
        <f t="shared" si="47"/>
        <v xml:space="preserve"> | [http://atom.kaeri.re.kr/cgi-bin/nuclide?nuc=Nd-148 &lt;sub&gt;148&lt;/sub&gt;Nd] || 5,7 % || stabil || &lt;br&gt; |-</v>
      </c>
    </row>
    <row r="329" spans="1:14" ht="15.9" customHeight="1">
      <c r="A329" s="73">
        <v>60</v>
      </c>
      <c r="B329" s="81" t="s">
        <v>316</v>
      </c>
      <c r="C329" s="73">
        <v>150</v>
      </c>
      <c r="D329" s="73">
        <v>5.6</v>
      </c>
      <c r="E329" t="s">
        <v>1175</v>
      </c>
      <c r="G329" t="str">
        <f t="shared" si="44"/>
        <v>[http://atom.kaeri.re.kr/cgi-bin/nuclide?nuc=Nd-150 &lt;sub&gt;150&lt;/sub&gt;Nd]</v>
      </c>
      <c r="H329" t="str">
        <f t="shared" si="45"/>
        <v>5,6 % || stabil</v>
      </c>
      <c r="I329" t="str">
        <f t="shared" si="46"/>
        <v xml:space="preserve"> | [http://atom.kaeri.re.kr/cgi-bin/nuclide?nuc=Nd-150 &lt;sub&gt;150&lt;/sub&gt;Nd] || 5,6 % || stabil || </v>
      </c>
      <c r="N329" t="str">
        <f t="shared" si="47"/>
        <v xml:space="preserve"> | [http://atom.kaeri.re.kr/cgi-bin/nuclide?nuc=Nd-150 &lt;sub&gt;150&lt;/sub&gt;Nd] || 5,6 % || stabil || &lt;br&gt; |-</v>
      </c>
    </row>
    <row r="330" spans="1:14" ht="15.9" customHeight="1">
      <c r="A330">
        <v>60</v>
      </c>
      <c r="B330" s="83" t="s">
        <v>316</v>
      </c>
      <c r="C330">
        <v>999</v>
      </c>
      <c r="D330" t="s">
        <v>317</v>
      </c>
      <c r="E330" t="s">
        <v>1175</v>
      </c>
      <c r="N330" t="str">
        <f>CONCATENATE(" |}&lt;br&gt;* [http://atom.kaeri.re.kr/cgi-bin/nuclide?nuc=",B330," alle bekannten ",D330,"-Isotope]")</f>
        <v xml:space="preserve"> |}&lt;br&gt;* [http://atom.kaeri.re.kr/cgi-bin/nuclide?nuc=Nd alle bekannten Neodym-Isotope]</v>
      </c>
    </row>
    <row r="331" spans="1:14" ht="15.9" customHeight="1">
      <c r="A331">
        <v>61</v>
      </c>
      <c r="B331" s="83" t="s">
        <v>319</v>
      </c>
      <c r="C331" s="73">
        <v>0</v>
      </c>
      <c r="D331" t="s">
        <v>320</v>
      </c>
      <c r="E331" t="s">
        <v>1175</v>
      </c>
      <c r="N331" t="str">
        <f>CONCATENATE("=== [[",D331,"]] ===&lt;br&gt;{| {{tabelle}}&lt;br&gt;! Isotop !! ",$D$1," !! [[",$E$1,"]] !! ",$F$1," &lt;br&gt; |-")</f>
        <v>=== [[Promethium]] ===&lt;br&gt;{| {{tabelle}}&lt;br&gt;! Isotop !! natürliche Häufigkeit !! [[Halbwertszeit]] !! Herkunft, techn. Bedeutung &lt;br&gt; |-</v>
      </c>
    </row>
    <row r="332" spans="1:14" s="78" customFormat="1" ht="15.9" customHeight="1">
      <c r="A332">
        <v>61</v>
      </c>
      <c r="B332" s="83" t="s">
        <v>319</v>
      </c>
      <c r="C332" s="79">
        <v>147</v>
      </c>
      <c r="D332" s="78" t="s">
        <v>1068</v>
      </c>
      <c r="E332" t="s">
        <v>1132</v>
      </c>
      <c r="F332" t="s">
        <v>1195</v>
      </c>
      <c r="G332" t="str">
        <f>CONCATENATE("[","http://atom.kaeri.re.kr/cgi-bin/nuclide?nuc=",B332,"-",C332," &lt;sub&gt;",C332,"&lt;/sub&gt;",B332,"]")</f>
        <v>[http://atom.kaeri.re.kr/cgi-bin/nuclide?nuc=Pm-147 &lt;sub&gt;147&lt;/sub&gt;Pm]</v>
      </c>
      <c r="H332" t="str">
        <f>CONCATENATE(D332," % || ",E332)</f>
        <v>- % || 2,6 Jahre</v>
      </c>
      <c r="I332" t="str">
        <f>CONCATENATE(" | ",G332," || ",H332," || ",F332)</f>
        <v xml:space="preserve"> | [http://atom.kaeri.re.kr/cgi-bin/nuclide?nuc=Pm-147 &lt;sub&gt;147&lt;/sub&gt;Pm] || - % || 2,6 Jahre || [[radioaktiv]], Leuchtfarben</v>
      </c>
      <c r="J332"/>
      <c r="K332"/>
      <c r="L332"/>
      <c r="M332"/>
      <c r="N332" t="str">
        <f>CONCATENATE(I332,"&lt;br&gt;"," |-")</f>
        <v xml:space="preserve"> | [http://atom.kaeri.re.kr/cgi-bin/nuclide?nuc=Pm-147 &lt;sub&gt;147&lt;/sub&gt;Pm] || - % || 2,6 Jahre || [[radioaktiv]], Leuchtfarben&lt;br&gt; |-</v>
      </c>
    </row>
    <row r="333" spans="1:14" ht="15.9" customHeight="1">
      <c r="A333">
        <v>61</v>
      </c>
      <c r="B333" s="83" t="s">
        <v>319</v>
      </c>
      <c r="C333">
        <v>999</v>
      </c>
      <c r="D333" t="s">
        <v>320</v>
      </c>
      <c r="E333" t="s">
        <v>1175</v>
      </c>
      <c r="N333" t="str">
        <f>CONCATENATE(" |}&lt;br&gt;* [http://atom.kaeri.re.kr/cgi-bin/nuclide?nuc=",B333," alle bekannten ",D333,"-Isotope]")</f>
        <v xml:space="preserve"> |}&lt;br&gt;* [http://atom.kaeri.re.kr/cgi-bin/nuclide?nuc=Pm alle bekannten Promethium-Isotope]</v>
      </c>
    </row>
    <row r="334" spans="1:14" ht="15.9" customHeight="1">
      <c r="A334">
        <v>62</v>
      </c>
      <c r="B334" s="83" t="s">
        <v>322</v>
      </c>
      <c r="C334" s="73">
        <v>0</v>
      </c>
      <c r="D334" t="s">
        <v>323</v>
      </c>
      <c r="E334" t="s">
        <v>1175</v>
      </c>
      <c r="N334" t="str">
        <f>CONCATENATE("=== [[",D334,"]] ===&lt;br&gt;{| {{tabelle}}&lt;br&gt;! Isotop !! ",$D$1," !! [[",$E$1,"]] !! ",$F$1," &lt;br&gt; |-")</f>
        <v>=== [[Samarium]] ===&lt;br&gt;{| {{tabelle}}&lt;br&gt;! Isotop !! natürliche Häufigkeit !! [[Halbwertszeit]] !! Herkunft, techn. Bedeutung &lt;br&gt; |-</v>
      </c>
    </row>
    <row r="335" spans="1:14" ht="15.9" customHeight="1">
      <c r="A335" s="73">
        <v>62</v>
      </c>
      <c r="B335" s="81" t="s">
        <v>322</v>
      </c>
      <c r="C335" s="73">
        <v>144</v>
      </c>
      <c r="D335" s="73">
        <v>3.07</v>
      </c>
      <c r="E335" t="s">
        <v>1175</v>
      </c>
      <c r="G335" t="str">
        <f t="shared" ref="G335:G341" si="48">CONCATENATE("[","http://atom.kaeri.re.kr/cgi-bin/nuclide?nuc=",B335,"-",C335," &lt;sub&gt;",C335,"&lt;/sub&gt;",B335,"]")</f>
        <v>[http://atom.kaeri.re.kr/cgi-bin/nuclide?nuc=Sm-144 &lt;sub&gt;144&lt;/sub&gt;Sm]</v>
      </c>
      <c r="H335" t="str">
        <f t="shared" ref="H335:H341" si="49">CONCATENATE(D335," % || ",E335)</f>
        <v>3,07 % || stabil</v>
      </c>
      <c r="I335" t="str">
        <f t="shared" ref="I335:I341" si="50">CONCATENATE(" | ",G335," || ",H335," || ",F335)</f>
        <v xml:space="preserve"> | [http://atom.kaeri.re.kr/cgi-bin/nuclide?nuc=Sm-144 &lt;sub&gt;144&lt;/sub&gt;Sm] || 3,07 % || stabil || </v>
      </c>
      <c r="N335" t="str">
        <f t="shared" ref="N335:N341" si="51">CONCATENATE(I335,"&lt;br&gt;"," |-")</f>
        <v xml:space="preserve"> | [http://atom.kaeri.re.kr/cgi-bin/nuclide?nuc=Sm-144 &lt;sub&gt;144&lt;/sub&gt;Sm] || 3,07 % || stabil || &lt;br&gt; |-</v>
      </c>
    </row>
    <row r="336" spans="1:14" ht="15.9" customHeight="1">
      <c r="A336" s="73">
        <v>62</v>
      </c>
      <c r="B336" s="81" t="s">
        <v>322</v>
      </c>
      <c r="C336" s="73">
        <v>147</v>
      </c>
      <c r="D336" s="73">
        <v>14.99</v>
      </c>
      <c r="E336" t="s">
        <v>1175</v>
      </c>
      <c r="G336" t="str">
        <f t="shared" si="48"/>
        <v>[http://atom.kaeri.re.kr/cgi-bin/nuclide?nuc=Sm-147 &lt;sub&gt;147&lt;/sub&gt;Sm]</v>
      </c>
      <c r="H336" t="str">
        <f t="shared" si="49"/>
        <v>14,99 % || stabil</v>
      </c>
      <c r="I336" t="str">
        <f t="shared" si="50"/>
        <v xml:space="preserve"> | [http://atom.kaeri.re.kr/cgi-bin/nuclide?nuc=Sm-147 &lt;sub&gt;147&lt;/sub&gt;Sm] || 14,99 % || stabil || </v>
      </c>
      <c r="N336" t="str">
        <f t="shared" si="51"/>
        <v xml:space="preserve"> | [http://atom.kaeri.re.kr/cgi-bin/nuclide?nuc=Sm-147 &lt;sub&gt;147&lt;/sub&gt;Sm] || 14,99 % || stabil || &lt;br&gt; |-</v>
      </c>
    </row>
    <row r="337" spans="1:14" ht="15.9" customHeight="1">
      <c r="A337" s="73">
        <v>62</v>
      </c>
      <c r="B337" s="81" t="s">
        <v>322</v>
      </c>
      <c r="C337" s="73">
        <v>148</v>
      </c>
      <c r="D337" s="73">
        <v>11.24</v>
      </c>
      <c r="E337" t="s">
        <v>1175</v>
      </c>
      <c r="G337" t="str">
        <f t="shared" si="48"/>
        <v>[http://atom.kaeri.re.kr/cgi-bin/nuclide?nuc=Sm-148 &lt;sub&gt;148&lt;/sub&gt;Sm]</v>
      </c>
      <c r="H337" t="str">
        <f t="shared" si="49"/>
        <v>11,24 % || stabil</v>
      </c>
      <c r="I337" t="str">
        <f t="shared" si="50"/>
        <v xml:space="preserve"> | [http://atom.kaeri.re.kr/cgi-bin/nuclide?nuc=Sm-148 &lt;sub&gt;148&lt;/sub&gt;Sm] || 11,24 % || stabil || </v>
      </c>
      <c r="N337" t="str">
        <f t="shared" si="51"/>
        <v xml:space="preserve"> | [http://atom.kaeri.re.kr/cgi-bin/nuclide?nuc=Sm-148 &lt;sub&gt;148&lt;/sub&gt;Sm] || 11,24 % || stabil || &lt;br&gt; |-</v>
      </c>
    </row>
    <row r="338" spans="1:14" ht="15.9" customHeight="1">
      <c r="A338" s="73">
        <v>62</v>
      </c>
      <c r="B338" s="81" t="s">
        <v>322</v>
      </c>
      <c r="C338" s="73">
        <v>149</v>
      </c>
      <c r="D338" s="73">
        <v>13.82</v>
      </c>
      <c r="E338" t="s">
        <v>1175</v>
      </c>
      <c r="G338" t="str">
        <f t="shared" si="48"/>
        <v>[http://atom.kaeri.re.kr/cgi-bin/nuclide?nuc=Sm-149 &lt;sub&gt;149&lt;/sub&gt;Sm]</v>
      </c>
      <c r="H338" t="str">
        <f t="shared" si="49"/>
        <v>13,82 % || stabil</v>
      </c>
      <c r="I338" t="str">
        <f t="shared" si="50"/>
        <v xml:space="preserve"> | [http://atom.kaeri.re.kr/cgi-bin/nuclide?nuc=Sm-149 &lt;sub&gt;149&lt;/sub&gt;Sm] || 13,82 % || stabil || </v>
      </c>
      <c r="N338" t="str">
        <f t="shared" si="51"/>
        <v xml:space="preserve"> | [http://atom.kaeri.re.kr/cgi-bin/nuclide?nuc=Sm-149 &lt;sub&gt;149&lt;/sub&gt;Sm] || 13,82 % || stabil || &lt;br&gt; |-</v>
      </c>
    </row>
    <row r="339" spans="1:14" ht="15.9" customHeight="1">
      <c r="A339" s="73">
        <v>62</v>
      </c>
      <c r="B339" s="81" t="s">
        <v>322</v>
      </c>
      <c r="C339" s="73">
        <v>150</v>
      </c>
      <c r="D339" s="73">
        <v>7.38</v>
      </c>
      <c r="E339" t="s">
        <v>1175</v>
      </c>
      <c r="G339" t="str">
        <f t="shared" si="48"/>
        <v>[http://atom.kaeri.re.kr/cgi-bin/nuclide?nuc=Sm-150 &lt;sub&gt;150&lt;/sub&gt;Sm]</v>
      </c>
      <c r="H339" t="str">
        <f t="shared" si="49"/>
        <v>7,38 % || stabil</v>
      </c>
      <c r="I339" t="str">
        <f t="shared" si="50"/>
        <v xml:space="preserve"> | [http://atom.kaeri.re.kr/cgi-bin/nuclide?nuc=Sm-150 &lt;sub&gt;150&lt;/sub&gt;Sm] || 7,38 % || stabil || </v>
      </c>
      <c r="N339" t="str">
        <f t="shared" si="51"/>
        <v xml:space="preserve"> | [http://atom.kaeri.re.kr/cgi-bin/nuclide?nuc=Sm-150 &lt;sub&gt;150&lt;/sub&gt;Sm] || 7,38 % || stabil || &lt;br&gt; |-</v>
      </c>
    </row>
    <row r="340" spans="1:14" ht="15.9" customHeight="1">
      <c r="A340" s="73">
        <v>62</v>
      </c>
      <c r="B340" s="81" t="s">
        <v>322</v>
      </c>
      <c r="C340" s="73">
        <v>152</v>
      </c>
      <c r="D340" s="73">
        <v>26.75</v>
      </c>
      <c r="E340" t="s">
        <v>1175</v>
      </c>
      <c r="G340" t="str">
        <f t="shared" si="48"/>
        <v>[http://atom.kaeri.re.kr/cgi-bin/nuclide?nuc=Sm-152 &lt;sub&gt;152&lt;/sub&gt;Sm]</v>
      </c>
      <c r="H340" t="str">
        <f t="shared" si="49"/>
        <v>26,75 % || stabil</v>
      </c>
      <c r="I340" t="str">
        <f t="shared" si="50"/>
        <v xml:space="preserve"> | [http://atom.kaeri.re.kr/cgi-bin/nuclide?nuc=Sm-152 &lt;sub&gt;152&lt;/sub&gt;Sm] || 26,75 % || stabil || </v>
      </c>
      <c r="N340" t="str">
        <f t="shared" si="51"/>
        <v xml:space="preserve"> | [http://atom.kaeri.re.kr/cgi-bin/nuclide?nuc=Sm-152 &lt;sub&gt;152&lt;/sub&gt;Sm] || 26,75 % || stabil || &lt;br&gt; |-</v>
      </c>
    </row>
    <row r="341" spans="1:14" ht="15.9" customHeight="1">
      <c r="A341" s="73">
        <v>62</v>
      </c>
      <c r="B341" s="81" t="s">
        <v>322</v>
      </c>
      <c r="C341" s="73">
        <v>154</v>
      </c>
      <c r="D341" s="73">
        <v>22.75</v>
      </c>
      <c r="E341" t="s">
        <v>1175</v>
      </c>
      <c r="G341" t="str">
        <f t="shared" si="48"/>
        <v>[http://atom.kaeri.re.kr/cgi-bin/nuclide?nuc=Sm-154 &lt;sub&gt;154&lt;/sub&gt;Sm]</v>
      </c>
      <c r="H341" t="str">
        <f t="shared" si="49"/>
        <v>22,75 % || stabil</v>
      </c>
      <c r="I341" t="str">
        <f t="shared" si="50"/>
        <v xml:space="preserve"> | [http://atom.kaeri.re.kr/cgi-bin/nuclide?nuc=Sm-154 &lt;sub&gt;154&lt;/sub&gt;Sm] || 22,75 % || stabil || </v>
      </c>
      <c r="N341" t="str">
        <f t="shared" si="51"/>
        <v xml:space="preserve"> | [http://atom.kaeri.re.kr/cgi-bin/nuclide?nuc=Sm-154 &lt;sub&gt;154&lt;/sub&gt;Sm] || 22,75 % || stabil || &lt;br&gt; |-</v>
      </c>
    </row>
    <row r="342" spans="1:14" ht="15.9" customHeight="1">
      <c r="A342">
        <v>62</v>
      </c>
      <c r="B342" s="83" t="s">
        <v>322</v>
      </c>
      <c r="C342">
        <v>999</v>
      </c>
      <c r="D342" t="s">
        <v>323</v>
      </c>
      <c r="E342" t="s">
        <v>1175</v>
      </c>
      <c r="N342" t="str">
        <f>CONCATENATE(" |}&lt;br&gt;* [http://atom.kaeri.re.kr/cgi-bin/nuclide?nuc=",B342," alle bekannten ",D342,"-Isotope]")</f>
        <v xml:space="preserve"> |}&lt;br&gt;* [http://atom.kaeri.re.kr/cgi-bin/nuclide?nuc=Sm alle bekannten Samarium-Isotope]</v>
      </c>
    </row>
    <row r="343" spans="1:14" ht="15.9" customHeight="1">
      <c r="A343">
        <v>63</v>
      </c>
      <c r="B343" s="83" t="s">
        <v>325</v>
      </c>
      <c r="C343" s="73">
        <v>0</v>
      </c>
      <c r="D343" t="s">
        <v>326</v>
      </c>
      <c r="E343" t="s">
        <v>1175</v>
      </c>
      <c r="N343" t="str">
        <f>CONCATENATE("=== [[",D343,"]] ===&lt;br&gt;{| {{tabelle}}&lt;br&gt;! Isotop !! ",$D$1," !! [[",$E$1,"]] !! ",$F$1," &lt;br&gt; |-")</f>
        <v>=== [[Europium]] ===&lt;br&gt;{| {{tabelle}}&lt;br&gt;! Isotop !! natürliche Häufigkeit !! [[Halbwertszeit]] !! Herkunft, techn. Bedeutung &lt;br&gt; |-</v>
      </c>
    </row>
    <row r="344" spans="1:14" ht="15.9" customHeight="1">
      <c r="A344" s="73">
        <v>63</v>
      </c>
      <c r="B344" s="81" t="s">
        <v>325</v>
      </c>
      <c r="C344" s="73">
        <v>151</v>
      </c>
      <c r="D344" s="73">
        <v>47.81</v>
      </c>
      <c r="E344" t="s">
        <v>1175</v>
      </c>
      <c r="G344" t="str">
        <f>CONCATENATE("[","http://atom.kaeri.re.kr/cgi-bin/nuclide?nuc=",B344,"-",C344," &lt;sub&gt;",C344,"&lt;/sub&gt;",B344,"]")</f>
        <v>[http://atom.kaeri.re.kr/cgi-bin/nuclide?nuc=Eu-151 &lt;sub&gt;151&lt;/sub&gt;Eu]</v>
      </c>
      <c r="H344" t="str">
        <f>CONCATENATE(D344," % || ",E344)</f>
        <v>47,81 % || stabil</v>
      </c>
      <c r="I344" t="str">
        <f>CONCATENATE(" | ",G344," || ",H344," || ",F344)</f>
        <v xml:space="preserve"> | [http://atom.kaeri.re.kr/cgi-bin/nuclide?nuc=Eu-151 &lt;sub&gt;151&lt;/sub&gt;Eu] || 47,81 % || stabil || </v>
      </c>
      <c r="N344" t="str">
        <f>CONCATENATE(I344,"&lt;br&gt;"," |-")</f>
        <v xml:space="preserve"> | [http://atom.kaeri.re.kr/cgi-bin/nuclide?nuc=Eu-151 &lt;sub&gt;151&lt;/sub&gt;Eu] || 47,81 % || stabil || &lt;br&gt; |-</v>
      </c>
    </row>
    <row r="345" spans="1:14" ht="15.9" customHeight="1">
      <c r="A345" s="73">
        <v>63</v>
      </c>
      <c r="B345" s="81" t="s">
        <v>325</v>
      </c>
      <c r="C345" s="73">
        <v>153</v>
      </c>
      <c r="D345" s="73">
        <v>52.19</v>
      </c>
      <c r="E345" t="s">
        <v>1175</v>
      </c>
      <c r="G345" t="str">
        <f>CONCATENATE("[","http://atom.kaeri.re.kr/cgi-bin/nuclide?nuc=",B345,"-",C345," &lt;sub&gt;",C345,"&lt;/sub&gt;",B345,"]")</f>
        <v>[http://atom.kaeri.re.kr/cgi-bin/nuclide?nuc=Eu-153 &lt;sub&gt;153&lt;/sub&gt;Eu]</v>
      </c>
      <c r="H345" t="str">
        <f>CONCATENATE(D345," % || ",E345)</f>
        <v>52,19 % || stabil</v>
      </c>
      <c r="I345" t="str">
        <f>CONCATENATE(" | ",G345," || ",H345," || ",F345)</f>
        <v xml:space="preserve"> | [http://atom.kaeri.re.kr/cgi-bin/nuclide?nuc=Eu-153 &lt;sub&gt;153&lt;/sub&gt;Eu] || 52,19 % || stabil || </v>
      </c>
      <c r="N345" t="str">
        <f>CONCATENATE(I345,"&lt;br&gt;"," |-")</f>
        <v xml:space="preserve"> | [http://atom.kaeri.re.kr/cgi-bin/nuclide?nuc=Eu-153 &lt;sub&gt;153&lt;/sub&gt;Eu] || 52,19 % || stabil || &lt;br&gt; |-</v>
      </c>
    </row>
    <row r="346" spans="1:14" ht="15.9" customHeight="1">
      <c r="A346">
        <v>63</v>
      </c>
      <c r="B346" s="83" t="s">
        <v>325</v>
      </c>
      <c r="C346">
        <v>999</v>
      </c>
      <c r="D346" t="s">
        <v>326</v>
      </c>
      <c r="E346" t="s">
        <v>1175</v>
      </c>
      <c r="N346" t="str">
        <f>CONCATENATE(" |}&lt;br&gt;* [http://atom.kaeri.re.kr/cgi-bin/nuclide?nuc=",B346," alle bekannten ",D346,"-Isotope]")</f>
        <v xml:space="preserve"> |}&lt;br&gt;* [http://atom.kaeri.re.kr/cgi-bin/nuclide?nuc=Eu alle bekannten Europium-Isotope]</v>
      </c>
    </row>
    <row r="347" spans="1:14" ht="15.9" customHeight="1">
      <c r="A347">
        <v>64</v>
      </c>
      <c r="B347" s="83" t="s">
        <v>328</v>
      </c>
      <c r="C347" s="73">
        <v>0</v>
      </c>
      <c r="D347" t="s">
        <v>329</v>
      </c>
      <c r="E347" t="s">
        <v>1175</v>
      </c>
      <c r="N347" t="str">
        <f>CONCATENATE("=== [[",D347,"]] ===&lt;br&gt;{| {{tabelle}}&lt;br&gt;! Isotop !! ",$D$1," !! [[",$E$1,"]] !! ",$F$1," &lt;br&gt; |-")</f>
        <v>=== [[Gadolinium]] ===&lt;br&gt;{| {{tabelle}}&lt;br&gt;! Isotop !! natürliche Häufigkeit !! [[Halbwertszeit]] !! Herkunft, techn. Bedeutung &lt;br&gt; |-</v>
      </c>
    </row>
    <row r="348" spans="1:14" ht="15.9" customHeight="1">
      <c r="A348" s="73">
        <v>64</v>
      </c>
      <c r="B348" s="81" t="s">
        <v>328</v>
      </c>
      <c r="C348" s="73">
        <v>152</v>
      </c>
      <c r="D348" s="73">
        <v>0.2</v>
      </c>
      <c r="E348" t="s">
        <v>1175</v>
      </c>
      <c r="G348" t="str">
        <f t="shared" ref="G348:G354" si="52">CONCATENATE("[","http://atom.kaeri.re.kr/cgi-bin/nuclide?nuc=",B348,"-",C348," &lt;sub&gt;",C348,"&lt;/sub&gt;",B348,"]")</f>
        <v>[http://atom.kaeri.re.kr/cgi-bin/nuclide?nuc=Gd-152 &lt;sub&gt;152&lt;/sub&gt;Gd]</v>
      </c>
      <c r="H348" t="str">
        <f t="shared" ref="H348:H354" si="53">CONCATENATE(D348," % || ",E348)</f>
        <v>0,2 % || stabil</v>
      </c>
      <c r="I348" t="str">
        <f t="shared" ref="I348:I354" si="54">CONCATENATE(" | ",G348," || ",H348," || ",F348)</f>
        <v xml:space="preserve"> | [http://atom.kaeri.re.kr/cgi-bin/nuclide?nuc=Gd-152 &lt;sub&gt;152&lt;/sub&gt;Gd] || 0,2 % || stabil || </v>
      </c>
      <c r="N348" t="str">
        <f t="shared" ref="N348:N354" si="55">CONCATENATE(I348,"&lt;br&gt;"," |-")</f>
        <v xml:space="preserve"> | [http://atom.kaeri.re.kr/cgi-bin/nuclide?nuc=Gd-152 &lt;sub&gt;152&lt;/sub&gt;Gd] || 0,2 % || stabil || &lt;br&gt; |-</v>
      </c>
    </row>
    <row r="349" spans="1:14" ht="15.9" customHeight="1">
      <c r="A349" s="73">
        <v>64</v>
      </c>
      <c r="B349" s="81" t="s">
        <v>328</v>
      </c>
      <c r="C349" s="73">
        <v>154</v>
      </c>
      <c r="D349" s="73">
        <v>2.1800000000000002</v>
      </c>
      <c r="E349" t="s">
        <v>1175</v>
      </c>
      <c r="G349" t="str">
        <f t="shared" si="52"/>
        <v>[http://atom.kaeri.re.kr/cgi-bin/nuclide?nuc=Gd-154 &lt;sub&gt;154&lt;/sub&gt;Gd]</v>
      </c>
      <c r="H349" t="str">
        <f t="shared" si="53"/>
        <v>2,18 % || stabil</v>
      </c>
      <c r="I349" t="str">
        <f t="shared" si="54"/>
        <v xml:space="preserve"> | [http://atom.kaeri.re.kr/cgi-bin/nuclide?nuc=Gd-154 &lt;sub&gt;154&lt;/sub&gt;Gd] || 2,18 % || stabil || </v>
      </c>
      <c r="N349" t="str">
        <f t="shared" si="55"/>
        <v xml:space="preserve"> | [http://atom.kaeri.re.kr/cgi-bin/nuclide?nuc=Gd-154 &lt;sub&gt;154&lt;/sub&gt;Gd] || 2,18 % || stabil || &lt;br&gt; |-</v>
      </c>
    </row>
    <row r="350" spans="1:14" ht="15.9" customHeight="1">
      <c r="A350" s="73">
        <v>64</v>
      </c>
      <c r="B350" s="81" t="s">
        <v>328</v>
      </c>
      <c r="C350" s="73">
        <v>155</v>
      </c>
      <c r="D350" s="73">
        <v>14.8</v>
      </c>
      <c r="E350" t="s">
        <v>1175</v>
      </c>
      <c r="G350" t="str">
        <f t="shared" si="52"/>
        <v>[http://atom.kaeri.re.kr/cgi-bin/nuclide?nuc=Gd-155 &lt;sub&gt;155&lt;/sub&gt;Gd]</v>
      </c>
      <c r="H350" t="str">
        <f t="shared" si="53"/>
        <v>14,8 % || stabil</v>
      </c>
      <c r="I350" t="str">
        <f t="shared" si="54"/>
        <v xml:space="preserve"> | [http://atom.kaeri.re.kr/cgi-bin/nuclide?nuc=Gd-155 &lt;sub&gt;155&lt;/sub&gt;Gd] || 14,8 % || stabil || </v>
      </c>
      <c r="N350" t="str">
        <f t="shared" si="55"/>
        <v xml:space="preserve"> | [http://atom.kaeri.re.kr/cgi-bin/nuclide?nuc=Gd-155 &lt;sub&gt;155&lt;/sub&gt;Gd] || 14,8 % || stabil || &lt;br&gt; |-</v>
      </c>
    </row>
    <row r="351" spans="1:14" ht="15.9" customHeight="1">
      <c r="A351" s="73">
        <v>64</v>
      </c>
      <c r="B351" s="81" t="s">
        <v>328</v>
      </c>
      <c r="C351" s="73">
        <v>156</v>
      </c>
      <c r="D351" s="73">
        <v>20.47</v>
      </c>
      <c r="E351" t="s">
        <v>1175</v>
      </c>
      <c r="G351" t="str">
        <f t="shared" si="52"/>
        <v>[http://atom.kaeri.re.kr/cgi-bin/nuclide?nuc=Gd-156 &lt;sub&gt;156&lt;/sub&gt;Gd]</v>
      </c>
      <c r="H351" t="str">
        <f t="shared" si="53"/>
        <v>20,47 % || stabil</v>
      </c>
      <c r="I351" t="str">
        <f t="shared" si="54"/>
        <v xml:space="preserve"> | [http://atom.kaeri.re.kr/cgi-bin/nuclide?nuc=Gd-156 &lt;sub&gt;156&lt;/sub&gt;Gd] || 20,47 % || stabil || </v>
      </c>
      <c r="N351" t="str">
        <f t="shared" si="55"/>
        <v xml:space="preserve"> | [http://atom.kaeri.re.kr/cgi-bin/nuclide?nuc=Gd-156 &lt;sub&gt;156&lt;/sub&gt;Gd] || 20,47 % || stabil || &lt;br&gt; |-</v>
      </c>
    </row>
    <row r="352" spans="1:14" ht="15.9" customHeight="1">
      <c r="A352" s="73">
        <v>64</v>
      </c>
      <c r="B352" s="81" t="s">
        <v>328</v>
      </c>
      <c r="C352" s="73">
        <v>157</v>
      </c>
      <c r="D352" s="73">
        <v>15.65</v>
      </c>
      <c r="E352" t="s">
        <v>1175</v>
      </c>
      <c r="G352" t="str">
        <f t="shared" si="52"/>
        <v>[http://atom.kaeri.re.kr/cgi-bin/nuclide?nuc=Gd-157 &lt;sub&gt;157&lt;/sub&gt;Gd]</v>
      </c>
      <c r="H352" t="str">
        <f t="shared" si="53"/>
        <v>15,65 % || stabil</v>
      </c>
      <c r="I352" t="str">
        <f t="shared" si="54"/>
        <v xml:space="preserve"> | [http://atom.kaeri.re.kr/cgi-bin/nuclide?nuc=Gd-157 &lt;sub&gt;157&lt;/sub&gt;Gd] || 15,65 % || stabil || </v>
      </c>
      <c r="N352" t="str">
        <f t="shared" si="55"/>
        <v xml:space="preserve"> | [http://atom.kaeri.re.kr/cgi-bin/nuclide?nuc=Gd-157 &lt;sub&gt;157&lt;/sub&gt;Gd] || 15,65 % || stabil || &lt;br&gt; |-</v>
      </c>
    </row>
    <row r="353" spans="1:14" ht="15.9" customHeight="1">
      <c r="A353" s="73">
        <v>64</v>
      </c>
      <c r="B353" s="81" t="s">
        <v>328</v>
      </c>
      <c r="C353" s="73">
        <v>158</v>
      </c>
      <c r="D353" s="73">
        <v>24.84</v>
      </c>
      <c r="E353" t="s">
        <v>1175</v>
      </c>
      <c r="G353" t="str">
        <f t="shared" si="52"/>
        <v>[http://atom.kaeri.re.kr/cgi-bin/nuclide?nuc=Gd-158 &lt;sub&gt;158&lt;/sub&gt;Gd]</v>
      </c>
      <c r="H353" t="str">
        <f t="shared" si="53"/>
        <v>24,84 % || stabil</v>
      </c>
      <c r="I353" t="str">
        <f t="shared" si="54"/>
        <v xml:space="preserve"> | [http://atom.kaeri.re.kr/cgi-bin/nuclide?nuc=Gd-158 &lt;sub&gt;158&lt;/sub&gt;Gd] || 24,84 % || stabil || </v>
      </c>
      <c r="N353" t="str">
        <f t="shared" si="55"/>
        <v xml:space="preserve"> | [http://atom.kaeri.re.kr/cgi-bin/nuclide?nuc=Gd-158 &lt;sub&gt;158&lt;/sub&gt;Gd] || 24,84 % || stabil || &lt;br&gt; |-</v>
      </c>
    </row>
    <row r="354" spans="1:14" ht="15.9" customHeight="1">
      <c r="A354" s="73">
        <v>64</v>
      </c>
      <c r="B354" s="81" t="s">
        <v>328</v>
      </c>
      <c r="C354" s="73">
        <v>160</v>
      </c>
      <c r="D354" s="73">
        <v>21.86</v>
      </c>
      <c r="E354" t="s">
        <v>1175</v>
      </c>
      <c r="G354" t="str">
        <f t="shared" si="52"/>
        <v>[http://atom.kaeri.re.kr/cgi-bin/nuclide?nuc=Gd-160 &lt;sub&gt;160&lt;/sub&gt;Gd]</v>
      </c>
      <c r="H354" t="str">
        <f t="shared" si="53"/>
        <v>21,86 % || stabil</v>
      </c>
      <c r="I354" t="str">
        <f t="shared" si="54"/>
        <v xml:space="preserve"> | [http://atom.kaeri.re.kr/cgi-bin/nuclide?nuc=Gd-160 &lt;sub&gt;160&lt;/sub&gt;Gd] || 21,86 % || stabil || </v>
      </c>
      <c r="N354" t="str">
        <f t="shared" si="55"/>
        <v xml:space="preserve"> | [http://atom.kaeri.re.kr/cgi-bin/nuclide?nuc=Gd-160 &lt;sub&gt;160&lt;/sub&gt;Gd] || 21,86 % || stabil || &lt;br&gt; |-</v>
      </c>
    </row>
    <row r="355" spans="1:14" ht="15.9" customHeight="1">
      <c r="A355">
        <v>64</v>
      </c>
      <c r="B355" s="83" t="s">
        <v>328</v>
      </c>
      <c r="C355">
        <v>999</v>
      </c>
      <c r="D355" t="s">
        <v>329</v>
      </c>
      <c r="E355" t="s">
        <v>1175</v>
      </c>
      <c r="N355" t="str">
        <f>CONCATENATE(" |}&lt;br&gt;* [http://atom.kaeri.re.kr/cgi-bin/nuclide?nuc=",B355," alle bekannten ",D355,"-Isotope]")</f>
        <v xml:space="preserve"> |}&lt;br&gt;* [http://atom.kaeri.re.kr/cgi-bin/nuclide?nuc=Gd alle bekannten Gadolinium-Isotope]</v>
      </c>
    </row>
    <row r="356" spans="1:14" ht="15.9" customHeight="1">
      <c r="A356">
        <v>65</v>
      </c>
      <c r="B356" s="83" t="s">
        <v>332</v>
      </c>
      <c r="C356" s="73">
        <v>0</v>
      </c>
      <c r="D356" t="s">
        <v>333</v>
      </c>
      <c r="E356" t="s">
        <v>1175</v>
      </c>
      <c r="N356" t="str">
        <f>CONCATENATE("=== [[",D356,"]] ===&lt;br&gt;{| {{tabelle}}&lt;br&gt;! Isotop !! ",$D$1," !! [[",$E$1,"]] !! ",$F$1," &lt;br&gt; |-")</f>
        <v>=== [[Terbium]] ===&lt;br&gt;{| {{tabelle}}&lt;br&gt;! Isotop !! natürliche Häufigkeit !! [[Halbwertszeit]] !! Herkunft, techn. Bedeutung &lt;br&gt; |-</v>
      </c>
    </row>
    <row r="357" spans="1:14" ht="15.9" customHeight="1">
      <c r="A357" s="73">
        <v>65</v>
      </c>
      <c r="B357" s="81" t="s">
        <v>332</v>
      </c>
      <c r="C357" s="73">
        <v>159</v>
      </c>
      <c r="D357" s="73">
        <v>100</v>
      </c>
      <c r="E357" t="s">
        <v>1175</v>
      </c>
      <c r="G357" t="str">
        <f>CONCATENATE("[","http://atom.kaeri.re.kr/cgi-bin/nuclide?nuc=",B357,"-",C357," &lt;sub&gt;",C357,"&lt;/sub&gt;",B357,"]")</f>
        <v>[http://atom.kaeri.re.kr/cgi-bin/nuclide?nuc=Tb-159 &lt;sub&gt;159&lt;/sub&gt;Tb]</v>
      </c>
      <c r="H357" t="str">
        <f>CONCATENATE(D357," % || ",E357)</f>
        <v>100 % || stabil</v>
      </c>
      <c r="I357" t="str">
        <f>CONCATENATE(" | ",G357," || ",H357," || ",F357)</f>
        <v xml:space="preserve"> | [http://atom.kaeri.re.kr/cgi-bin/nuclide?nuc=Tb-159 &lt;sub&gt;159&lt;/sub&gt;Tb] || 100 % || stabil || </v>
      </c>
      <c r="N357" t="str">
        <f>CONCATENATE(I357,"&lt;br&gt;"," |-")</f>
        <v xml:space="preserve"> | [http://atom.kaeri.re.kr/cgi-bin/nuclide?nuc=Tb-159 &lt;sub&gt;159&lt;/sub&gt;Tb] || 100 % || stabil || &lt;br&gt; |-</v>
      </c>
    </row>
    <row r="358" spans="1:14" ht="15.9" customHeight="1">
      <c r="A358">
        <v>65</v>
      </c>
      <c r="B358" s="83" t="s">
        <v>332</v>
      </c>
      <c r="C358">
        <v>999</v>
      </c>
      <c r="D358" t="s">
        <v>333</v>
      </c>
      <c r="E358" t="s">
        <v>1175</v>
      </c>
      <c r="N358" t="str">
        <f>CONCATENATE(" |}&lt;br&gt;* [http://atom.kaeri.re.kr/cgi-bin/nuclide?nuc=",B358," alle bekannten ",D358,"-Isotope]")</f>
        <v xml:space="preserve"> |}&lt;br&gt;* [http://atom.kaeri.re.kr/cgi-bin/nuclide?nuc=Tb alle bekannten Terbium-Isotope]</v>
      </c>
    </row>
    <row r="359" spans="1:14" ht="15.9" customHeight="1">
      <c r="A359">
        <v>66</v>
      </c>
      <c r="B359" s="83" t="s">
        <v>335</v>
      </c>
      <c r="C359" s="73">
        <v>0</v>
      </c>
      <c r="D359" t="s">
        <v>336</v>
      </c>
      <c r="E359" t="s">
        <v>1175</v>
      </c>
      <c r="N359" t="str">
        <f>CONCATENATE("=== [[",D359,"]] ===&lt;br&gt;{| {{tabelle}}&lt;br&gt;! Isotop !! ",$D$1," !! [[",$E$1,"]] !! ",$F$1," &lt;br&gt; |-")</f>
        <v>=== [[Dysprosium]] ===&lt;br&gt;{| {{tabelle}}&lt;br&gt;! Isotop !! natürliche Häufigkeit !! [[Halbwertszeit]] !! Herkunft, techn. Bedeutung &lt;br&gt; |-</v>
      </c>
    </row>
    <row r="360" spans="1:14" ht="15.9" customHeight="1">
      <c r="A360" s="73">
        <v>66</v>
      </c>
      <c r="B360" s="81" t="s">
        <v>335</v>
      </c>
      <c r="C360" s="73">
        <v>156</v>
      </c>
      <c r="D360" s="73">
        <v>0.06</v>
      </c>
      <c r="E360" t="s">
        <v>1175</v>
      </c>
      <c r="G360" t="str">
        <f t="shared" ref="G360:G366" si="56">CONCATENATE("[","http://atom.kaeri.re.kr/cgi-bin/nuclide?nuc=",B360,"-",C360," &lt;sub&gt;",C360,"&lt;/sub&gt;",B360,"]")</f>
        <v>[http://atom.kaeri.re.kr/cgi-bin/nuclide?nuc=Dy-156 &lt;sub&gt;156&lt;/sub&gt;Dy]</v>
      </c>
      <c r="H360" t="str">
        <f t="shared" ref="H360:H366" si="57">CONCATENATE(D360," % || ",E360)</f>
        <v>0,06 % || stabil</v>
      </c>
      <c r="I360" t="str">
        <f t="shared" ref="I360:I366" si="58">CONCATENATE(" | ",G360," || ",H360," || ",F360)</f>
        <v xml:space="preserve"> | [http://atom.kaeri.re.kr/cgi-bin/nuclide?nuc=Dy-156 &lt;sub&gt;156&lt;/sub&gt;Dy] || 0,06 % || stabil || </v>
      </c>
      <c r="N360" t="str">
        <f t="shared" ref="N360:N366" si="59">CONCATENATE(I360,"&lt;br&gt;"," |-")</f>
        <v xml:space="preserve"> | [http://atom.kaeri.re.kr/cgi-bin/nuclide?nuc=Dy-156 &lt;sub&gt;156&lt;/sub&gt;Dy] || 0,06 % || stabil || &lt;br&gt; |-</v>
      </c>
    </row>
    <row r="361" spans="1:14" ht="15.9" customHeight="1">
      <c r="A361" s="73">
        <v>66</v>
      </c>
      <c r="B361" s="81" t="s">
        <v>335</v>
      </c>
      <c r="C361" s="73">
        <v>158</v>
      </c>
      <c r="D361" s="73">
        <v>0.1</v>
      </c>
      <c r="E361" t="s">
        <v>1175</v>
      </c>
      <c r="G361" t="str">
        <f t="shared" si="56"/>
        <v>[http://atom.kaeri.re.kr/cgi-bin/nuclide?nuc=Dy-158 &lt;sub&gt;158&lt;/sub&gt;Dy]</v>
      </c>
      <c r="H361" t="str">
        <f t="shared" si="57"/>
        <v>0,1 % || stabil</v>
      </c>
      <c r="I361" t="str">
        <f t="shared" si="58"/>
        <v xml:space="preserve"> | [http://atom.kaeri.re.kr/cgi-bin/nuclide?nuc=Dy-158 &lt;sub&gt;158&lt;/sub&gt;Dy] || 0,1 % || stabil || </v>
      </c>
      <c r="N361" t="str">
        <f t="shared" si="59"/>
        <v xml:space="preserve"> | [http://atom.kaeri.re.kr/cgi-bin/nuclide?nuc=Dy-158 &lt;sub&gt;158&lt;/sub&gt;Dy] || 0,1 % || stabil || &lt;br&gt; |-</v>
      </c>
    </row>
    <row r="362" spans="1:14" ht="15.9" customHeight="1">
      <c r="A362" s="73">
        <v>66</v>
      </c>
      <c r="B362" s="81" t="s">
        <v>335</v>
      </c>
      <c r="C362" s="73">
        <v>160</v>
      </c>
      <c r="D362" s="73">
        <v>2.34</v>
      </c>
      <c r="E362" t="s">
        <v>1175</v>
      </c>
      <c r="G362" t="str">
        <f t="shared" si="56"/>
        <v>[http://atom.kaeri.re.kr/cgi-bin/nuclide?nuc=Dy-160 &lt;sub&gt;160&lt;/sub&gt;Dy]</v>
      </c>
      <c r="H362" t="str">
        <f t="shared" si="57"/>
        <v>2,34 % || stabil</v>
      </c>
      <c r="I362" t="str">
        <f t="shared" si="58"/>
        <v xml:space="preserve"> | [http://atom.kaeri.re.kr/cgi-bin/nuclide?nuc=Dy-160 &lt;sub&gt;160&lt;/sub&gt;Dy] || 2,34 % || stabil || </v>
      </c>
      <c r="N362" t="str">
        <f t="shared" si="59"/>
        <v xml:space="preserve"> | [http://atom.kaeri.re.kr/cgi-bin/nuclide?nuc=Dy-160 &lt;sub&gt;160&lt;/sub&gt;Dy] || 2,34 % || stabil || &lt;br&gt; |-</v>
      </c>
    </row>
    <row r="363" spans="1:14" ht="15.9" customHeight="1">
      <c r="A363" s="73">
        <v>66</v>
      </c>
      <c r="B363" s="81" t="s">
        <v>335</v>
      </c>
      <c r="C363" s="73">
        <v>161</v>
      </c>
      <c r="D363" s="73">
        <v>18.91</v>
      </c>
      <c r="E363" t="s">
        <v>1175</v>
      </c>
      <c r="G363" t="str">
        <f t="shared" si="56"/>
        <v>[http://atom.kaeri.re.kr/cgi-bin/nuclide?nuc=Dy-161 &lt;sub&gt;161&lt;/sub&gt;Dy]</v>
      </c>
      <c r="H363" t="str">
        <f t="shared" si="57"/>
        <v>18,91 % || stabil</v>
      </c>
      <c r="I363" t="str">
        <f t="shared" si="58"/>
        <v xml:space="preserve"> | [http://atom.kaeri.re.kr/cgi-bin/nuclide?nuc=Dy-161 &lt;sub&gt;161&lt;/sub&gt;Dy] || 18,91 % || stabil || </v>
      </c>
      <c r="N363" t="str">
        <f t="shared" si="59"/>
        <v xml:space="preserve"> | [http://atom.kaeri.re.kr/cgi-bin/nuclide?nuc=Dy-161 &lt;sub&gt;161&lt;/sub&gt;Dy] || 18,91 % || stabil || &lt;br&gt; |-</v>
      </c>
    </row>
    <row r="364" spans="1:14" ht="15.9" customHeight="1">
      <c r="A364" s="73">
        <v>66</v>
      </c>
      <c r="B364" s="81" t="s">
        <v>335</v>
      </c>
      <c r="C364" s="73">
        <v>162</v>
      </c>
      <c r="D364" s="73">
        <v>25.51</v>
      </c>
      <c r="E364" t="s">
        <v>1175</v>
      </c>
      <c r="G364" t="str">
        <f t="shared" si="56"/>
        <v>[http://atom.kaeri.re.kr/cgi-bin/nuclide?nuc=Dy-162 &lt;sub&gt;162&lt;/sub&gt;Dy]</v>
      </c>
      <c r="H364" t="str">
        <f t="shared" si="57"/>
        <v>25,51 % || stabil</v>
      </c>
      <c r="I364" t="str">
        <f t="shared" si="58"/>
        <v xml:space="preserve"> | [http://atom.kaeri.re.kr/cgi-bin/nuclide?nuc=Dy-162 &lt;sub&gt;162&lt;/sub&gt;Dy] || 25,51 % || stabil || </v>
      </c>
      <c r="N364" t="str">
        <f t="shared" si="59"/>
        <v xml:space="preserve"> | [http://atom.kaeri.re.kr/cgi-bin/nuclide?nuc=Dy-162 &lt;sub&gt;162&lt;/sub&gt;Dy] || 25,51 % || stabil || &lt;br&gt; |-</v>
      </c>
    </row>
    <row r="365" spans="1:14" ht="15.9" customHeight="1">
      <c r="A365" s="73">
        <v>66</v>
      </c>
      <c r="B365" s="81" t="s">
        <v>335</v>
      </c>
      <c r="C365" s="73">
        <v>163</v>
      </c>
      <c r="D365" s="73">
        <v>24.9</v>
      </c>
      <c r="E365" t="s">
        <v>1175</v>
      </c>
      <c r="G365" t="str">
        <f t="shared" si="56"/>
        <v>[http://atom.kaeri.re.kr/cgi-bin/nuclide?nuc=Dy-163 &lt;sub&gt;163&lt;/sub&gt;Dy]</v>
      </c>
      <c r="H365" t="str">
        <f t="shared" si="57"/>
        <v>24,9 % || stabil</v>
      </c>
      <c r="I365" t="str">
        <f t="shared" si="58"/>
        <v xml:space="preserve"> | [http://atom.kaeri.re.kr/cgi-bin/nuclide?nuc=Dy-163 &lt;sub&gt;163&lt;/sub&gt;Dy] || 24,9 % || stabil || </v>
      </c>
      <c r="N365" t="str">
        <f t="shared" si="59"/>
        <v xml:space="preserve"> | [http://atom.kaeri.re.kr/cgi-bin/nuclide?nuc=Dy-163 &lt;sub&gt;163&lt;/sub&gt;Dy] || 24,9 % || stabil || &lt;br&gt; |-</v>
      </c>
    </row>
    <row r="366" spans="1:14" ht="15.9" customHeight="1">
      <c r="A366" s="73">
        <v>66</v>
      </c>
      <c r="B366" s="81" t="s">
        <v>335</v>
      </c>
      <c r="C366" s="73">
        <v>164</v>
      </c>
      <c r="D366" s="73">
        <v>28.18</v>
      </c>
      <c r="E366" t="s">
        <v>1175</v>
      </c>
      <c r="G366" t="str">
        <f t="shared" si="56"/>
        <v>[http://atom.kaeri.re.kr/cgi-bin/nuclide?nuc=Dy-164 &lt;sub&gt;164&lt;/sub&gt;Dy]</v>
      </c>
      <c r="H366" t="str">
        <f t="shared" si="57"/>
        <v>28,18 % || stabil</v>
      </c>
      <c r="I366" t="str">
        <f t="shared" si="58"/>
        <v xml:space="preserve"> | [http://atom.kaeri.re.kr/cgi-bin/nuclide?nuc=Dy-164 &lt;sub&gt;164&lt;/sub&gt;Dy] || 28,18 % || stabil || </v>
      </c>
      <c r="N366" t="str">
        <f t="shared" si="59"/>
        <v xml:space="preserve"> | [http://atom.kaeri.re.kr/cgi-bin/nuclide?nuc=Dy-164 &lt;sub&gt;164&lt;/sub&gt;Dy] || 28,18 % || stabil || &lt;br&gt; |-</v>
      </c>
    </row>
    <row r="367" spans="1:14" ht="15.9" customHeight="1">
      <c r="A367">
        <v>66</v>
      </c>
      <c r="B367" s="83" t="s">
        <v>335</v>
      </c>
      <c r="C367">
        <v>999</v>
      </c>
      <c r="D367" t="s">
        <v>336</v>
      </c>
      <c r="E367" t="s">
        <v>1175</v>
      </c>
      <c r="N367" t="str">
        <f>CONCATENATE(" |}&lt;br&gt;* [http://atom.kaeri.re.kr/cgi-bin/nuclide?nuc=",B367," alle bekannten ",D367,"-Isotope]")</f>
        <v xml:space="preserve"> |}&lt;br&gt;* [http://atom.kaeri.re.kr/cgi-bin/nuclide?nuc=Dy alle bekannten Dysprosium-Isotope]</v>
      </c>
    </row>
    <row r="368" spans="1:14" ht="15.9" customHeight="1">
      <c r="A368">
        <v>67</v>
      </c>
      <c r="B368" s="83" t="s">
        <v>338</v>
      </c>
      <c r="C368" s="73">
        <v>0</v>
      </c>
      <c r="D368" t="s">
        <v>339</v>
      </c>
      <c r="E368" t="s">
        <v>1175</v>
      </c>
      <c r="N368" t="str">
        <f>CONCATENATE("=== [[",D368,"]] ===&lt;br&gt;{| {{tabelle}}&lt;br&gt;! Isotop !! ",$D$1," !! [[",$E$1,"]] !! ",$F$1," &lt;br&gt; |-")</f>
        <v>=== [[Holmium]] ===&lt;br&gt;{| {{tabelle}}&lt;br&gt;! Isotop !! natürliche Häufigkeit !! [[Halbwertszeit]] !! Herkunft, techn. Bedeutung &lt;br&gt; |-</v>
      </c>
    </row>
    <row r="369" spans="1:14" ht="15.9" customHeight="1">
      <c r="A369" s="73">
        <v>67</v>
      </c>
      <c r="B369" s="81" t="s">
        <v>338</v>
      </c>
      <c r="C369" s="73">
        <v>165</v>
      </c>
      <c r="D369" s="73">
        <v>100</v>
      </c>
      <c r="E369" t="s">
        <v>1175</v>
      </c>
      <c r="G369" t="str">
        <f>CONCATENATE("[","http://atom.kaeri.re.kr/cgi-bin/nuclide?nuc=",B369,"-",C369," &lt;sub&gt;",C369,"&lt;/sub&gt;",B369,"]")</f>
        <v>[http://atom.kaeri.re.kr/cgi-bin/nuclide?nuc=Ho-165 &lt;sub&gt;165&lt;/sub&gt;Ho]</v>
      </c>
      <c r="H369" t="str">
        <f>CONCATENATE(D369," % || ",E369)</f>
        <v>100 % || stabil</v>
      </c>
      <c r="I369" t="str">
        <f>CONCATENATE(" | ",G369," || ",H369," || ",F369)</f>
        <v xml:space="preserve"> | [http://atom.kaeri.re.kr/cgi-bin/nuclide?nuc=Ho-165 &lt;sub&gt;165&lt;/sub&gt;Ho] || 100 % || stabil || </v>
      </c>
      <c r="N369" t="str">
        <f>CONCATENATE(I369,"&lt;br&gt;"," |-")</f>
        <v xml:space="preserve"> | [http://atom.kaeri.re.kr/cgi-bin/nuclide?nuc=Ho-165 &lt;sub&gt;165&lt;/sub&gt;Ho] || 100 % || stabil || &lt;br&gt; |-</v>
      </c>
    </row>
    <row r="370" spans="1:14" ht="15.9" customHeight="1">
      <c r="A370">
        <v>67</v>
      </c>
      <c r="B370" s="83" t="s">
        <v>338</v>
      </c>
      <c r="C370">
        <v>999</v>
      </c>
      <c r="D370" t="s">
        <v>339</v>
      </c>
      <c r="E370" t="s">
        <v>1175</v>
      </c>
      <c r="N370" t="str">
        <f>CONCATENATE(" |}&lt;br&gt;* [http://atom.kaeri.re.kr/cgi-bin/nuclide?nuc=",B370," alle bekannten ",D370,"-Isotope]")</f>
        <v xml:space="preserve"> |}&lt;br&gt;* [http://atom.kaeri.re.kr/cgi-bin/nuclide?nuc=Ho alle bekannten Holmium-Isotope]</v>
      </c>
    </row>
    <row r="371" spans="1:14" ht="15.9" customHeight="1">
      <c r="A371">
        <v>68</v>
      </c>
      <c r="B371" s="83" t="s">
        <v>341</v>
      </c>
      <c r="C371" s="73">
        <v>0</v>
      </c>
      <c r="D371" t="s">
        <v>342</v>
      </c>
      <c r="E371" t="s">
        <v>1175</v>
      </c>
      <c r="N371" t="str">
        <f>CONCATENATE("=== [[",D371,"]] ===&lt;br&gt;{| {{tabelle}}&lt;br&gt;! Isotop !! ",$D$1," !! [[",$E$1,"]] !! ",$F$1," &lt;br&gt; |-")</f>
        <v>=== [[Erbium]] ===&lt;br&gt;{| {{tabelle}}&lt;br&gt;! Isotop !! natürliche Häufigkeit !! [[Halbwertszeit]] !! Herkunft, techn. Bedeutung &lt;br&gt; |-</v>
      </c>
    </row>
    <row r="372" spans="1:14" ht="15.9" customHeight="1">
      <c r="A372" s="73">
        <v>68</v>
      </c>
      <c r="B372" s="81" t="s">
        <v>341</v>
      </c>
      <c r="C372" s="73">
        <v>162</v>
      </c>
      <c r="D372" s="73">
        <v>0.14000000000000001</v>
      </c>
      <c r="E372" t="s">
        <v>1175</v>
      </c>
      <c r="G372" t="str">
        <f t="shared" ref="G372:G377" si="60">CONCATENATE("[","http://atom.kaeri.re.kr/cgi-bin/nuclide?nuc=",B372,"-",C372," &lt;sub&gt;",C372,"&lt;/sub&gt;",B372,"]")</f>
        <v>[http://atom.kaeri.re.kr/cgi-bin/nuclide?nuc=Er-162 &lt;sub&gt;162&lt;/sub&gt;Er]</v>
      </c>
      <c r="H372" t="str">
        <f t="shared" ref="H372:H377" si="61">CONCATENATE(D372," % || ",E372)</f>
        <v>0,14 % || stabil</v>
      </c>
      <c r="I372" t="str">
        <f t="shared" ref="I372:I377" si="62">CONCATENATE(" | ",G372," || ",H372," || ",F372)</f>
        <v xml:space="preserve"> | [http://atom.kaeri.re.kr/cgi-bin/nuclide?nuc=Er-162 &lt;sub&gt;162&lt;/sub&gt;Er] || 0,14 % || stabil || </v>
      </c>
      <c r="N372" t="str">
        <f t="shared" ref="N372:N377" si="63">CONCATENATE(I372,"&lt;br&gt;"," |-")</f>
        <v xml:space="preserve"> | [http://atom.kaeri.re.kr/cgi-bin/nuclide?nuc=Er-162 &lt;sub&gt;162&lt;/sub&gt;Er] || 0,14 % || stabil || &lt;br&gt; |-</v>
      </c>
    </row>
    <row r="373" spans="1:14" ht="15.9" customHeight="1">
      <c r="A373" s="73">
        <v>68</v>
      </c>
      <c r="B373" s="81" t="s">
        <v>341</v>
      </c>
      <c r="C373" s="73">
        <v>164</v>
      </c>
      <c r="D373" s="73">
        <v>1.61</v>
      </c>
      <c r="E373" t="s">
        <v>1175</v>
      </c>
      <c r="G373" t="str">
        <f t="shared" si="60"/>
        <v>[http://atom.kaeri.re.kr/cgi-bin/nuclide?nuc=Er-164 &lt;sub&gt;164&lt;/sub&gt;Er]</v>
      </c>
      <c r="H373" t="str">
        <f t="shared" si="61"/>
        <v>1,61 % || stabil</v>
      </c>
      <c r="I373" t="str">
        <f t="shared" si="62"/>
        <v xml:space="preserve"> | [http://atom.kaeri.re.kr/cgi-bin/nuclide?nuc=Er-164 &lt;sub&gt;164&lt;/sub&gt;Er] || 1,61 % || stabil || </v>
      </c>
      <c r="N373" t="str">
        <f t="shared" si="63"/>
        <v xml:space="preserve"> | [http://atom.kaeri.re.kr/cgi-bin/nuclide?nuc=Er-164 &lt;sub&gt;164&lt;/sub&gt;Er] || 1,61 % || stabil || &lt;br&gt; |-</v>
      </c>
    </row>
    <row r="374" spans="1:14" ht="15.9" customHeight="1">
      <c r="A374" s="73">
        <v>68</v>
      </c>
      <c r="B374" s="81" t="s">
        <v>341</v>
      </c>
      <c r="C374" s="73">
        <v>166</v>
      </c>
      <c r="D374" s="73">
        <v>33.61</v>
      </c>
      <c r="E374" t="s">
        <v>1175</v>
      </c>
      <c r="G374" t="str">
        <f t="shared" si="60"/>
        <v>[http://atom.kaeri.re.kr/cgi-bin/nuclide?nuc=Er-166 &lt;sub&gt;166&lt;/sub&gt;Er]</v>
      </c>
      <c r="H374" t="str">
        <f t="shared" si="61"/>
        <v>33,61 % || stabil</v>
      </c>
      <c r="I374" t="str">
        <f t="shared" si="62"/>
        <v xml:space="preserve"> | [http://atom.kaeri.re.kr/cgi-bin/nuclide?nuc=Er-166 &lt;sub&gt;166&lt;/sub&gt;Er] || 33,61 % || stabil || </v>
      </c>
      <c r="N374" t="str">
        <f t="shared" si="63"/>
        <v xml:space="preserve"> | [http://atom.kaeri.re.kr/cgi-bin/nuclide?nuc=Er-166 &lt;sub&gt;166&lt;/sub&gt;Er] || 33,61 % || stabil || &lt;br&gt; |-</v>
      </c>
    </row>
    <row r="375" spans="1:14" ht="15.9" customHeight="1">
      <c r="A375" s="73">
        <v>68</v>
      </c>
      <c r="B375" s="81" t="s">
        <v>341</v>
      </c>
      <c r="C375" s="73">
        <v>167</v>
      </c>
      <c r="D375" s="73">
        <v>22.93</v>
      </c>
      <c r="E375" t="s">
        <v>1175</v>
      </c>
      <c r="G375" t="str">
        <f t="shared" si="60"/>
        <v>[http://atom.kaeri.re.kr/cgi-bin/nuclide?nuc=Er-167 &lt;sub&gt;167&lt;/sub&gt;Er]</v>
      </c>
      <c r="H375" t="str">
        <f t="shared" si="61"/>
        <v>22,93 % || stabil</v>
      </c>
      <c r="I375" t="str">
        <f t="shared" si="62"/>
        <v xml:space="preserve"> | [http://atom.kaeri.re.kr/cgi-bin/nuclide?nuc=Er-167 &lt;sub&gt;167&lt;/sub&gt;Er] || 22,93 % || stabil || </v>
      </c>
      <c r="N375" t="str">
        <f t="shared" si="63"/>
        <v xml:space="preserve"> | [http://atom.kaeri.re.kr/cgi-bin/nuclide?nuc=Er-167 &lt;sub&gt;167&lt;/sub&gt;Er] || 22,93 % || stabil || &lt;br&gt; |-</v>
      </c>
    </row>
    <row r="376" spans="1:14" ht="15.9" customHeight="1">
      <c r="A376" s="73">
        <v>68</v>
      </c>
      <c r="B376" s="81" t="s">
        <v>341</v>
      </c>
      <c r="C376" s="73">
        <v>168</v>
      </c>
      <c r="D376" s="73">
        <v>26.78</v>
      </c>
      <c r="E376" t="s">
        <v>1175</v>
      </c>
      <c r="G376" t="str">
        <f t="shared" si="60"/>
        <v>[http://atom.kaeri.re.kr/cgi-bin/nuclide?nuc=Er-168 &lt;sub&gt;168&lt;/sub&gt;Er]</v>
      </c>
      <c r="H376" t="str">
        <f t="shared" si="61"/>
        <v>26,78 % || stabil</v>
      </c>
      <c r="I376" t="str">
        <f t="shared" si="62"/>
        <v xml:space="preserve"> | [http://atom.kaeri.re.kr/cgi-bin/nuclide?nuc=Er-168 &lt;sub&gt;168&lt;/sub&gt;Er] || 26,78 % || stabil || </v>
      </c>
      <c r="N376" t="str">
        <f t="shared" si="63"/>
        <v xml:space="preserve"> | [http://atom.kaeri.re.kr/cgi-bin/nuclide?nuc=Er-168 &lt;sub&gt;168&lt;/sub&gt;Er] || 26,78 % || stabil || &lt;br&gt; |-</v>
      </c>
    </row>
    <row r="377" spans="1:14" ht="15.9" customHeight="1">
      <c r="A377" s="73">
        <v>68</v>
      </c>
      <c r="B377" s="81" t="s">
        <v>341</v>
      </c>
      <c r="C377" s="73">
        <v>170</v>
      </c>
      <c r="D377" s="73">
        <v>14.93</v>
      </c>
      <c r="E377" t="s">
        <v>1175</v>
      </c>
      <c r="G377" t="str">
        <f t="shared" si="60"/>
        <v>[http://atom.kaeri.re.kr/cgi-bin/nuclide?nuc=Er-170 &lt;sub&gt;170&lt;/sub&gt;Er]</v>
      </c>
      <c r="H377" t="str">
        <f t="shared" si="61"/>
        <v>14,93 % || stabil</v>
      </c>
      <c r="I377" t="str">
        <f t="shared" si="62"/>
        <v xml:space="preserve"> | [http://atom.kaeri.re.kr/cgi-bin/nuclide?nuc=Er-170 &lt;sub&gt;170&lt;/sub&gt;Er] || 14,93 % || stabil || </v>
      </c>
      <c r="N377" t="str">
        <f t="shared" si="63"/>
        <v xml:space="preserve"> | [http://atom.kaeri.re.kr/cgi-bin/nuclide?nuc=Er-170 &lt;sub&gt;170&lt;/sub&gt;Er] || 14,93 % || stabil || &lt;br&gt; |-</v>
      </c>
    </row>
    <row r="378" spans="1:14" ht="15.9" customHeight="1">
      <c r="A378">
        <v>68</v>
      </c>
      <c r="B378" s="83" t="s">
        <v>341</v>
      </c>
      <c r="C378">
        <v>999</v>
      </c>
      <c r="D378" t="s">
        <v>342</v>
      </c>
      <c r="E378" t="s">
        <v>1175</v>
      </c>
      <c r="N378" t="str">
        <f>CONCATENATE(" |}&lt;br&gt;* [http://atom.kaeri.re.kr/cgi-bin/nuclide?nuc=",B378," alle bekannten ",D378,"-Isotope]")</f>
        <v xml:space="preserve"> |}&lt;br&gt;* [http://atom.kaeri.re.kr/cgi-bin/nuclide?nuc=Er alle bekannten Erbium-Isotope]</v>
      </c>
    </row>
    <row r="379" spans="1:14" ht="15.9" customHeight="1">
      <c r="A379">
        <v>69</v>
      </c>
      <c r="B379" s="83" t="s">
        <v>344</v>
      </c>
      <c r="C379" s="73">
        <v>0</v>
      </c>
      <c r="D379" t="s">
        <v>345</v>
      </c>
      <c r="E379" t="s">
        <v>1175</v>
      </c>
      <c r="N379" t="str">
        <f>CONCATENATE("=== [[",D379,"]] ===&lt;br&gt;{| {{tabelle}}&lt;br&gt;! Isotop !! ",$D$1," !! [[",$E$1,"]] !! ",$F$1," &lt;br&gt; |-")</f>
        <v>=== [[Thulium]] ===&lt;br&gt;{| {{tabelle}}&lt;br&gt;! Isotop !! natürliche Häufigkeit !! [[Halbwertszeit]] !! Herkunft, techn. Bedeutung &lt;br&gt; |-</v>
      </c>
    </row>
    <row r="380" spans="1:14" ht="15.9" customHeight="1">
      <c r="A380" s="73">
        <v>69</v>
      </c>
      <c r="B380" s="81" t="s">
        <v>344</v>
      </c>
      <c r="C380" s="73">
        <v>169</v>
      </c>
      <c r="D380" s="73">
        <v>100</v>
      </c>
      <c r="E380" t="s">
        <v>1175</v>
      </c>
      <c r="G380" t="str">
        <f>CONCATENATE("[","http://atom.kaeri.re.kr/cgi-bin/nuclide?nuc=",B380,"-",C380," &lt;sub&gt;",C380,"&lt;/sub&gt;",B380,"]")</f>
        <v>[http://atom.kaeri.re.kr/cgi-bin/nuclide?nuc=Tm-169 &lt;sub&gt;169&lt;/sub&gt;Tm]</v>
      </c>
      <c r="H380" t="str">
        <f>CONCATENATE(D380," % || ",E380)</f>
        <v>100 % || stabil</v>
      </c>
      <c r="I380" t="str">
        <f>CONCATENATE(" | ",G380," || ",H380," || ",F380)</f>
        <v xml:space="preserve"> | [http://atom.kaeri.re.kr/cgi-bin/nuclide?nuc=Tm-169 &lt;sub&gt;169&lt;/sub&gt;Tm] || 100 % || stabil || </v>
      </c>
      <c r="N380" t="str">
        <f>CONCATENATE(I380,"&lt;br&gt;"," |-")</f>
        <v xml:space="preserve"> | [http://atom.kaeri.re.kr/cgi-bin/nuclide?nuc=Tm-169 &lt;sub&gt;169&lt;/sub&gt;Tm] || 100 % || stabil || &lt;br&gt; |-</v>
      </c>
    </row>
    <row r="381" spans="1:14" ht="15.9" customHeight="1">
      <c r="A381">
        <v>69</v>
      </c>
      <c r="B381" s="83" t="s">
        <v>344</v>
      </c>
      <c r="C381">
        <v>999</v>
      </c>
      <c r="D381" t="s">
        <v>345</v>
      </c>
      <c r="E381" t="s">
        <v>1175</v>
      </c>
      <c r="N381" t="str">
        <f>CONCATENATE(" |}&lt;br&gt;* [http://atom.kaeri.re.kr/cgi-bin/nuclide?nuc=",B381," alle bekannten ",D381,"-Isotope]")</f>
        <v xml:space="preserve"> |}&lt;br&gt;* [http://atom.kaeri.re.kr/cgi-bin/nuclide?nuc=Tm alle bekannten Thulium-Isotope]</v>
      </c>
    </row>
    <row r="382" spans="1:14" ht="15.9" customHeight="1">
      <c r="A382">
        <v>70</v>
      </c>
      <c r="B382" s="83" t="s">
        <v>347</v>
      </c>
      <c r="C382" s="73">
        <v>0</v>
      </c>
      <c r="D382" t="s">
        <v>348</v>
      </c>
      <c r="E382" t="s">
        <v>1175</v>
      </c>
      <c r="N382" t="str">
        <f>CONCATENATE("=== [[",D382,"]] ===&lt;br&gt;{| {{tabelle}}&lt;br&gt;! Isotop !! ",$D$1," !! [[",$E$1,"]] !! ",$F$1," &lt;br&gt; |-")</f>
        <v>=== [[Ytterbium]] ===&lt;br&gt;{| {{tabelle}}&lt;br&gt;! Isotop !! natürliche Häufigkeit !! [[Halbwertszeit]] !! Herkunft, techn. Bedeutung &lt;br&gt; |-</v>
      </c>
    </row>
    <row r="383" spans="1:14" ht="15.9" customHeight="1">
      <c r="A383" s="73">
        <v>70</v>
      </c>
      <c r="B383" s="81" t="s">
        <v>347</v>
      </c>
      <c r="C383" s="73">
        <v>168</v>
      </c>
      <c r="D383" s="73">
        <v>0.13</v>
      </c>
      <c r="E383" t="s">
        <v>1175</v>
      </c>
      <c r="G383" t="str">
        <f t="shared" ref="G383:G389" si="64">CONCATENATE("[","http://atom.kaeri.re.kr/cgi-bin/nuclide?nuc=",B383,"-",C383," &lt;sub&gt;",C383,"&lt;/sub&gt;",B383,"]")</f>
        <v>[http://atom.kaeri.re.kr/cgi-bin/nuclide?nuc=Yb-168 &lt;sub&gt;168&lt;/sub&gt;Yb]</v>
      </c>
      <c r="H383" t="str">
        <f t="shared" ref="H383:H389" si="65">CONCATENATE(D383," % || ",E383)</f>
        <v>0,13 % || stabil</v>
      </c>
      <c r="I383" t="str">
        <f t="shared" ref="I383:I389" si="66">CONCATENATE(" | ",G383," || ",H383," || ",F383)</f>
        <v xml:space="preserve"> | [http://atom.kaeri.re.kr/cgi-bin/nuclide?nuc=Yb-168 &lt;sub&gt;168&lt;/sub&gt;Yb] || 0,13 % || stabil || </v>
      </c>
      <c r="N383" t="str">
        <f t="shared" ref="N383:N389" si="67">CONCATENATE(I383,"&lt;br&gt;"," |-")</f>
        <v xml:space="preserve"> | [http://atom.kaeri.re.kr/cgi-bin/nuclide?nuc=Yb-168 &lt;sub&gt;168&lt;/sub&gt;Yb] || 0,13 % || stabil || &lt;br&gt; |-</v>
      </c>
    </row>
    <row r="384" spans="1:14" ht="15.9" customHeight="1">
      <c r="A384" s="73">
        <v>70</v>
      </c>
      <c r="B384" s="81" t="s">
        <v>347</v>
      </c>
      <c r="C384" s="73">
        <v>170</v>
      </c>
      <c r="D384" s="73">
        <v>3.04</v>
      </c>
      <c r="E384" t="s">
        <v>1175</v>
      </c>
      <c r="G384" t="str">
        <f t="shared" si="64"/>
        <v>[http://atom.kaeri.re.kr/cgi-bin/nuclide?nuc=Yb-170 &lt;sub&gt;170&lt;/sub&gt;Yb]</v>
      </c>
      <c r="H384" t="str">
        <f t="shared" si="65"/>
        <v>3,04 % || stabil</v>
      </c>
      <c r="I384" t="str">
        <f t="shared" si="66"/>
        <v xml:space="preserve"> | [http://atom.kaeri.re.kr/cgi-bin/nuclide?nuc=Yb-170 &lt;sub&gt;170&lt;/sub&gt;Yb] || 3,04 % || stabil || </v>
      </c>
      <c r="N384" t="str">
        <f t="shared" si="67"/>
        <v xml:space="preserve"> | [http://atom.kaeri.re.kr/cgi-bin/nuclide?nuc=Yb-170 &lt;sub&gt;170&lt;/sub&gt;Yb] || 3,04 % || stabil || &lt;br&gt; |-</v>
      </c>
    </row>
    <row r="385" spans="1:14" ht="15.9" customHeight="1">
      <c r="A385" s="73">
        <v>70</v>
      </c>
      <c r="B385" s="81" t="s">
        <v>347</v>
      </c>
      <c r="C385" s="73">
        <v>171</v>
      </c>
      <c r="D385" s="73">
        <v>14.28</v>
      </c>
      <c r="E385" t="s">
        <v>1175</v>
      </c>
      <c r="G385" t="str">
        <f t="shared" si="64"/>
        <v>[http://atom.kaeri.re.kr/cgi-bin/nuclide?nuc=Yb-171 &lt;sub&gt;171&lt;/sub&gt;Yb]</v>
      </c>
      <c r="H385" t="str">
        <f t="shared" si="65"/>
        <v>14,28 % || stabil</v>
      </c>
      <c r="I385" t="str">
        <f t="shared" si="66"/>
        <v xml:space="preserve"> | [http://atom.kaeri.re.kr/cgi-bin/nuclide?nuc=Yb-171 &lt;sub&gt;171&lt;/sub&gt;Yb] || 14,28 % || stabil || </v>
      </c>
      <c r="N385" t="str">
        <f t="shared" si="67"/>
        <v xml:space="preserve"> | [http://atom.kaeri.re.kr/cgi-bin/nuclide?nuc=Yb-171 &lt;sub&gt;171&lt;/sub&gt;Yb] || 14,28 % || stabil || &lt;br&gt; |-</v>
      </c>
    </row>
    <row r="386" spans="1:14" ht="15.9" customHeight="1">
      <c r="A386" s="73">
        <v>70</v>
      </c>
      <c r="B386" s="81" t="s">
        <v>347</v>
      </c>
      <c r="C386" s="73">
        <v>172</v>
      </c>
      <c r="D386" s="73">
        <v>21.83</v>
      </c>
      <c r="E386" t="s">
        <v>1175</v>
      </c>
      <c r="G386" t="str">
        <f t="shared" si="64"/>
        <v>[http://atom.kaeri.re.kr/cgi-bin/nuclide?nuc=Yb-172 &lt;sub&gt;172&lt;/sub&gt;Yb]</v>
      </c>
      <c r="H386" t="str">
        <f t="shared" si="65"/>
        <v>21,83 % || stabil</v>
      </c>
      <c r="I386" t="str">
        <f t="shared" si="66"/>
        <v xml:space="preserve"> | [http://atom.kaeri.re.kr/cgi-bin/nuclide?nuc=Yb-172 &lt;sub&gt;172&lt;/sub&gt;Yb] || 21,83 % || stabil || </v>
      </c>
      <c r="N386" t="str">
        <f t="shared" si="67"/>
        <v xml:space="preserve"> | [http://atom.kaeri.re.kr/cgi-bin/nuclide?nuc=Yb-172 &lt;sub&gt;172&lt;/sub&gt;Yb] || 21,83 % || stabil || &lt;br&gt; |-</v>
      </c>
    </row>
    <row r="387" spans="1:14" ht="15.9" customHeight="1">
      <c r="A387" s="73">
        <v>70</v>
      </c>
      <c r="B387" s="81" t="s">
        <v>347</v>
      </c>
      <c r="C387" s="73">
        <v>173</v>
      </c>
      <c r="D387" s="73">
        <v>16.13</v>
      </c>
      <c r="E387" t="s">
        <v>1175</v>
      </c>
      <c r="G387" t="str">
        <f t="shared" si="64"/>
        <v>[http://atom.kaeri.re.kr/cgi-bin/nuclide?nuc=Yb-173 &lt;sub&gt;173&lt;/sub&gt;Yb]</v>
      </c>
      <c r="H387" t="str">
        <f t="shared" si="65"/>
        <v>16,13 % || stabil</v>
      </c>
      <c r="I387" t="str">
        <f t="shared" si="66"/>
        <v xml:space="preserve"> | [http://atom.kaeri.re.kr/cgi-bin/nuclide?nuc=Yb-173 &lt;sub&gt;173&lt;/sub&gt;Yb] || 16,13 % || stabil || </v>
      </c>
      <c r="N387" t="str">
        <f t="shared" si="67"/>
        <v xml:space="preserve"> | [http://atom.kaeri.re.kr/cgi-bin/nuclide?nuc=Yb-173 &lt;sub&gt;173&lt;/sub&gt;Yb] || 16,13 % || stabil || &lt;br&gt; |-</v>
      </c>
    </row>
    <row r="388" spans="1:14" ht="15.9" customHeight="1">
      <c r="A388" s="73">
        <v>70</v>
      </c>
      <c r="B388" s="81" t="s">
        <v>347</v>
      </c>
      <c r="C388" s="73">
        <v>174</v>
      </c>
      <c r="D388" s="73">
        <v>31.83</v>
      </c>
      <c r="E388" t="s">
        <v>1175</v>
      </c>
      <c r="G388" t="str">
        <f t="shared" si="64"/>
        <v>[http://atom.kaeri.re.kr/cgi-bin/nuclide?nuc=Yb-174 &lt;sub&gt;174&lt;/sub&gt;Yb]</v>
      </c>
      <c r="H388" t="str">
        <f t="shared" si="65"/>
        <v>31,83 % || stabil</v>
      </c>
      <c r="I388" t="str">
        <f t="shared" si="66"/>
        <v xml:space="preserve"> | [http://atom.kaeri.re.kr/cgi-bin/nuclide?nuc=Yb-174 &lt;sub&gt;174&lt;/sub&gt;Yb] || 31,83 % || stabil || </v>
      </c>
      <c r="N388" t="str">
        <f t="shared" si="67"/>
        <v xml:space="preserve"> | [http://atom.kaeri.re.kr/cgi-bin/nuclide?nuc=Yb-174 &lt;sub&gt;174&lt;/sub&gt;Yb] || 31,83 % || stabil || &lt;br&gt; |-</v>
      </c>
    </row>
    <row r="389" spans="1:14" ht="15.9" customHeight="1">
      <c r="A389" s="73">
        <v>70</v>
      </c>
      <c r="B389" s="81" t="s">
        <v>347</v>
      </c>
      <c r="C389" s="73">
        <v>176</v>
      </c>
      <c r="D389" s="73">
        <v>12.76</v>
      </c>
      <c r="E389" t="s">
        <v>1175</v>
      </c>
      <c r="G389" t="str">
        <f t="shared" si="64"/>
        <v>[http://atom.kaeri.re.kr/cgi-bin/nuclide?nuc=Yb-176 &lt;sub&gt;176&lt;/sub&gt;Yb]</v>
      </c>
      <c r="H389" t="str">
        <f t="shared" si="65"/>
        <v>12,76 % || stabil</v>
      </c>
      <c r="I389" t="str">
        <f t="shared" si="66"/>
        <v xml:space="preserve"> | [http://atom.kaeri.re.kr/cgi-bin/nuclide?nuc=Yb-176 &lt;sub&gt;176&lt;/sub&gt;Yb] || 12,76 % || stabil || </v>
      </c>
      <c r="N389" t="str">
        <f t="shared" si="67"/>
        <v xml:space="preserve"> | [http://atom.kaeri.re.kr/cgi-bin/nuclide?nuc=Yb-176 &lt;sub&gt;176&lt;/sub&gt;Yb] || 12,76 % || stabil || &lt;br&gt; |-</v>
      </c>
    </row>
    <row r="390" spans="1:14" ht="15.9" customHeight="1">
      <c r="A390">
        <v>70</v>
      </c>
      <c r="B390" s="83" t="s">
        <v>347</v>
      </c>
      <c r="C390">
        <v>999</v>
      </c>
      <c r="D390" t="s">
        <v>348</v>
      </c>
      <c r="E390" t="s">
        <v>1175</v>
      </c>
      <c r="N390" t="str">
        <f>CONCATENATE(" |}&lt;br&gt;* [http://atom.kaeri.re.kr/cgi-bin/nuclide?nuc=",B390," alle bekannten ",D390,"-Isotope]")</f>
        <v xml:space="preserve"> |}&lt;br&gt;* [http://atom.kaeri.re.kr/cgi-bin/nuclide?nuc=Yb alle bekannten Ytterbium-Isotope]</v>
      </c>
    </row>
    <row r="391" spans="1:14" ht="15.9" customHeight="1">
      <c r="A391">
        <v>71</v>
      </c>
      <c r="B391" s="83" t="s">
        <v>350</v>
      </c>
      <c r="C391" s="73">
        <v>0</v>
      </c>
      <c r="D391" t="s">
        <v>351</v>
      </c>
      <c r="E391" t="s">
        <v>1175</v>
      </c>
      <c r="N391" t="str">
        <f>CONCATENATE("=== [[",D391,"]] ===&lt;br&gt;{| {{tabelle}}&lt;br&gt;! Isotop !! ",$D$1," !! [[",$E$1,"]] !! ",$F$1," &lt;br&gt; |-")</f>
        <v>=== [[Lutetium]] ===&lt;br&gt;{| {{tabelle}}&lt;br&gt;! Isotop !! natürliche Häufigkeit !! [[Halbwertszeit]] !! Herkunft, techn. Bedeutung &lt;br&gt; |-</v>
      </c>
    </row>
    <row r="392" spans="1:14" ht="15.9" customHeight="1">
      <c r="A392" s="73">
        <v>71</v>
      </c>
      <c r="B392" s="81" t="s">
        <v>350</v>
      </c>
      <c r="C392" s="73">
        <v>175</v>
      </c>
      <c r="D392" s="73">
        <v>97.41</v>
      </c>
      <c r="E392" t="s">
        <v>1175</v>
      </c>
      <c r="G392" t="str">
        <f>CONCATENATE("[","http://atom.kaeri.re.kr/cgi-bin/nuclide?nuc=",B392,"-",C392," &lt;sub&gt;",C392,"&lt;/sub&gt;",B392,"]")</f>
        <v>[http://atom.kaeri.re.kr/cgi-bin/nuclide?nuc=Lu-175 &lt;sub&gt;175&lt;/sub&gt;Lu]</v>
      </c>
      <c r="H392" t="str">
        <f>CONCATENATE(D392," % || ",E392)</f>
        <v>97,41 % || stabil</v>
      </c>
      <c r="I392" t="str">
        <f>CONCATENATE(" | ",G392," || ",H392," || ",F392)</f>
        <v xml:space="preserve"> | [http://atom.kaeri.re.kr/cgi-bin/nuclide?nuc=Lu-175 &lt;sub&gt;175&lt;/sub&gt;Lu] || 97,41 % || stabil || </v>
      </c>
      <c r="N392" t="str">
        <f>CONCATENATE(I392,"&lt;br&gt;"," |-")</f>
        <v xml:space="preserve"> | [http://atom.kaeri.re.kr/cgi-bin/nuclide?nuc=Lu-175 &lt;sub&gt;175&lt;/sub&gt;Lu] || 97,41 % || stabil || &lt;br&gt; |-</v>
      </c>
    </row>
    <row r="393" spans="1:14" ht="15.9" customHeight="1">
      <c r="A393" s="73">
        <v>71</v>
      </c>
      <c r="B393" s="81" t="s">
        <v>350</v>
      </c>
      <c r="C393" s="73">
        <v>176</v>
      </c>
      <c r="D393" s="73">
        <v>2.59</v>
      </c>
      <c r="E393" t="s">
        <v>1175</v>
      </c>
      <c r="G393" t="str">
        <f>CONCATENATE("[","http://atom.kaeri.re.kr/cgi-bin/nuclide?nuc=",B393,"-",C393," &lt;sub&gt;",C393,"&lt;/sub&gt;",B393,"]")</f>
        <v>[http://atom.kaeri.re.kr/cgi-bin/nuclide?nuc=Lu-176 &lt;sub&gt;176&lt;/sub&gt;Lu]</v>
      </c>
      <c r="H393" t="str">
        <f>CONCATENATE(D393," % || ",E393)</f>
        <v>2,59 % || stabil</v>
      </c>
      <c r="I393" t="str">
        <f>CONCATENATE(" | ",G393," || ",H393," || ",F393)</f>
        <v xml:space="preserve"> | [http://atom.kaeri.re.kr/cgi-bin/nuclide?nuc=Lu-176 &lt;sub&gt;176&lt;/sub&gt;Lu] || 2,59 % || stabil || </v>
      </c>
      <c r="N393" t="str">
        <f>CONCATENATE(I393,"&lt;br&gt;"," |-")</f>
        <v xml:space="preserve"> | [http://atom.kaeri.re.kr/cgi-bin/nuclide?nuc=Lu-176 &lt;sub&gt;176&lt;/sub&gt;Lu] || 2,59 % || stabil || &lt;br&gt; |-</v>
      </c>
    </row>
    <row r="394" spans="1:14" ht="15.9" customHeight="1">
      <c r="A394">
        <v>71</v>
      </c>
      <c r="B394" s="83" t="s">
        <v>350</v>
      </c>
      <c r="C394">
        <v>999</v>
      </c>
      <c r="D394" t="s">
        <v>351</v>
      </c>
      <c r="E394" t="s">
        <v>1175</v>
      </c>
      <c r="N394" t="str">
        <f>CONCATENATE(" |}&lt;br&gt;* [http://atom.kaeri.re.kr/cgi-bin/nuclide?nuc=",B394," alle bekannten ",D394,"-Isotope]")</f>
        <v xml:space="preserve"> |}&lt;br&gt;* [http://atom.kaeri.re.kr/cgi-bin/nuclide?nuc=Lu alle bekannten Lutetium-Isotope]</v>
      </c>
    </row>
    <row r="395" spans="1:14" ht="15.9" customHeight="1">
      <c r="A395">
        <v>72</v>
      </c>
      <c r="B395" s="83" t="s">
        <v>353</v>
      </c>
      <c r="C395" s="73">
        <v>0</v>
      </c>
      <c r="D395" t="s">
        <v>354</v>
      </c>
      <c r="E395" t="s">
        <v>1175</v>
      </c>
      <c r="N395" t="str">
        <f>CONCATENATE("=== [[",D395,"]] ===&lt;br&gt;{| {{tabelle}}&lt;br&gt;! Isotop !! ",$D$1," !! [[",$E$1,"]] !! ",$F$1," &lt;br&gt; |-")</f>
        <v>=== [[Hafnium]] ===&lt;br&gt;{| {{tabelle}}&lt;br&gt;! Isotop !! natürliche Häufigkeit !! [[Halbwertszeit]] !! Herkunft, techn. Bedeutung &lt;br&gt; |-</v>
      </c>
    </row>
    <row r="396" spans="1:14" ht="15.9" customHeight="1">
      <c r="A396" s="73">
        <v>72</v>
      </c>
      <c r="B396" s="81" t="s">
        <v>353</v>
      </c>
      <c r="C396" s="73">
        <v>174</v>
      </c>
      <c r="D396" s="73">
        <v>0.16</v>
      </c>
      <c r="E396" t="s">
        <v>1175</v>
      </c>
      <c r="G396" t="str">
        <f t="shared" ref="G396:G401" si="68">CONCATENATE("[","http://atom.kaeri.re.kr/cgi-bin/nuclide?nuc=",B396,"-",C396," &lt;sub&gt;",C396,"&lt;/sub&gt;",B396,"]")</f>
        <v>[http://atom.kaeri.re.kr/cgi-bin/nuclide?nuc=Hf-174 &lt;sub&gt;174&lt;/sub&gt;Hf]</v>
      </c>
      <c r="H396" t="str">
        <f t="shared" ref="H396:H401" si="69">CONCATENATE(D396," % || ",E396)</f>
        <v>0,16 % || stabil</v>
      </c>
      <c r="I396" t="str">
        <f t="shared" ref="I396:I401" si="70">CONCATENATE(" | ",G396," || ",H396," || ",F396)</f>
        <v xml:space="preserve"> | [http://atom.kaeri.re.kr/cgi-bin/nuclide?nuc=Hf-174 &lt;sub&gt;174&lt;/sub&gt;Hf] || 0,16 % || stabil || </v>
      </c>
      <c r="N396" t="str">
        <f t="shared" ref="N396:N401" si="71">CONCATENATE(I396,"&lt;br&gt;"," |-")</f>
        <v xml:space="preserve"> | [http://atom.kaeri.re.kr/cgi-bin/nuclide?nuc=Hf-174 &lt;sub&gt;174&lt;/sub&gt;Hf] || 0,16 % || stabil || &lt;br&gt; |-</v>
      </c>
    </row>
    <row r="397" spans="1:14" ht="15.9" customHeight="1">
      <c r="A397" s="73">
        <v>72</v>
      </c>
      <c r="B397" s="81" t="s">
        <v>353</v>
      </c>
      <c r="C397" s="73">
        <v>176</v>
      </c>
      <c r="D397" s="73">
        <v>5.26</v>
      </c>
      <c r="E397" t="s">
        <v>1175</v>
      </c>
      <c r="G397" t="str">
        <f t="shared" si="68"/>
        <v>[http://atom.kaeri.re.kr/cgi-bin/nuclide?nuc=Hf-176 &lt;sub&gt;176&lt;/sub&gt;Hf]</v>
      </c>
      <c r="H397" t="str">
        <f t="shared" si="69"/>
        <v>5,26 % || stabil</v>
      </c>
      <c r="I397" t="str">
        <f t="shared" si="70"/>
        <v xml:space="preserve"> | [http://atom.kaeri.re.kr/cgi-bin/nuclide?nuc=Hf-176 &lt;sub&gt;176&lt;/sub&gt;Hf] || 5,26 % || stabil || </v>
      </c>
      <c r="N397" t="str">
        <f t="shared" si="71"/>
        <v xml:space="preserve"> | [http://atom.kaeri.re.kr/cgi-bin/nuclide?nuc=Hf-176 &lt;sub&gt;176&lt;/sub&gt;Hf] || 5,26 % || stabil || &lt;br&gt; |-</v>
      </c>
    </row>
    <row r="398" spans="1:14" ht="15.9" customHeight="1">
      <c r="A398" s="73">
        <v>72</v>
      </c>
      <c r="B398" s="81" t="s">
        <v>353</v>
      </c>
      <c r="C398" s="73">
        <v>177</v>
      </c>
      <c r="D398" s="73">
        <v>18.600000000000001</v>
      </c>
      <c r="E398" t="s">
        <v>1175</v>
      </c>
      <c r="G398" t="str">
        <f t="shared" si="68"/>
        <v>[http://atom.kaeri.re.kr/cgi-bin/nuclide?nuc=Hf-177 &lt;sub&gt;177&lt;/sub&gt;Hf]</v>
      </c>
      <c r="H398" t="str">
        <f t="shared" si="69"/>
        <v>18,6 % || stabil</v>
      </c>
      <c r="I398" t="str">
        <f t="shared" si="70"/>
        <v xml:space="preserve"> | [http://atom.kaeri.re.kr/cgi-bin/nuclide?nuc=Hf-177 &lt;sub&gt;177&lt;/sub&gt;Hf] || 18,6 % || stabil || </v>
      </c>
      <c r="N398" t="str">
        <f t="shared" si="71"/>
        <v xml:space="preserve"> | [http://atom.kaeri.re.kr/cgi-bin/nuclide?nuc=Hf-177 &lt;sub&gt;177&lt;/sub&gt;Hf] || 18,6 % || stabil || &lt;br&gt; |-</v>
      </c>
    </row>
    <row r="399" spans="1:14" ht="15.9" customHeight="1">
      <c r="A399" s="73">
        <v>72</v>
      </c>
      <c r="B399" s="81" t="s">
        <v>353</v>
      </c>
      <c r="C399" s="73">
        <v>178</v>
      </c>
      <c r="D399" s="73">
        <v>27.28</v>
      </c>
      <c r="E399" t="s">
        <v>1175</v>
      </c>
      <c r="G399" t="str">
        <f t="shared" si="68"/>
        <v>[http://atom.kaeri.re.kr/cgi-bin/nuclide?nuc=Hf-178 &lt;sub&gt;178&lt;/sub&gt;Hf]</v>
      </c>
      <c r="H399" t="str">
        <f t="shared" si="69"/>
        <v>27,28 % || stabil</v>
      </c>
      <c r="I399" t="str">
        <f t="shared" si="70"/>
        <v xml:space="preserve"> | [http://atom.kaeri.re.kr/cgi-bin/nuclide?nuc=Hf-178 &lt;sub&gt;178&lt;/sub&gt;Hf] || 27,28 % || stabil || </v>
      </c>
      <c r="N399" t="str">
        <f t="shared" si="71"/>
        <v xml:space="preserve"> | [http://atom.kaeri.re.kr/cgi-bin/nuclide?nuc=Hf-178 &lt;sub&gt;178&lt;/sub&gt;Hf] || 27,28 % || stabil || &lt;br&gt; |-</v>
      </c>
    </row>
    <row r="400" spans="1:14" ht="15.9" customHeight="1">
      <c r="A400" s="73">
        <v>72</v>
      </c>
      <c r="B400" s="81" t="s">
        <v>353</v>
      </c>
      <c r="C400" s="73">
        <v>179</v>
      </c>
      <c r="D400" s="73">
        <v>13.62</v>
      </c>
      <c r="E400" t="s">
        <v>1175</v>
      </c>
      <c r="G400" t="str">
        <f t="shared" si="68"/>
        <v>[http://atom.kaeri.re.kr/cgi-bin/nuclide?nuc=Hf-179 &lt;sub&gt;179&lt;/sub&gt;Hf]</v>
      </c>
      <c r="H400" t="str">
        <f t="shared" si="69"/>
        <v>13,62 % || stabil</v>
      </c>
      <c r="I400" t="str">
        <f t="shared" si="70"/>
        <v xml:space="preserve"> | [http://atom.kaeri.re.kr/cgi-bin/nuclide?nuc=Hf-179 &lt;sub&gt;179&lt;/sub&gt;Hf] || 13,62 % || stabil || </v>
      </c>
      <c r="N400" t="str">
        <f t="shared" si="71"/>
        <v xml:space="preserve"> | [http://atom.kaeri.re.kr/cgi-bin/nuclide?nuc=Hf-179 &lt;sub&gt;179&lt;/sub&gt;Hf] || 13,62 % || stabil || &lt;br&gt; |-</v>
      </c>
    </row>
    <row r="401" spans="1:14" ht="15.9" customHeight="1">
      <c r="A401" s="73">
        <v>72</v>
      </c>
      <c r="B401" s="81" t="s">
        <v>353</v>
      </c>
      <c r="C401" s="73">
        <v>180</v>
      </c>
      <c r="D401" s="73">
        <v>35.08</v>
      </c>
      <c r="E401" t="s">
        <v>1175</v>
      </c>
      <c r="G401" t="str">
        <f t="shared" si="68"/>
        <v>[http://atom.kaeri.re.kr/cgi-bin/nuclide?nuc=Hf-180 &lt;sub&gt;180&lt;/sub&gt;Hf]</v>
      </c>
      <c r="H401" t="str">
        <f t="shared" si="69"/>
        <v>35,08 % || stabil</v>
      </c>
      <c r="I401" t="str">
        <f t="shared" si="70"/>
        <v xml:space="preserve"> | [http://atom.kaeri.re.kr/cgi-bin/nuclide?nuc=Hf-180 &lt;sub&gt;180&lt;/sub&gt;Hf] || 35,08 % || stabil || </v>
      </c>
      <c r="N401" t="str">
        <f t="shared" si="71"/>
        <v xml:space="preserve"> | [http://atom.kaeri.re.kr/cgi-bin/nuclide?nuc=Hf-180 &lt;sub&gt;180&lt;/sub&gt;Hf] || 35,08 % || stabil || &lt;br&gt; |-</v>
      </c>
    </row>
    <row r="402" spans="1:14" ht="15.9" customHeight="1">
      <c r="A402">
        <v>72</v>
      </c>
      <c r="B402" s="83" t="s">
        <v>353</v>
      </c>
      <c r="C402">
        <v>999</v>
      </c>
      <c r="D402" t="s">
        <v>354</v>
      </c>
      <c r="E402" t="s">
        <v>1175</v>
      </c>
      <c r="N402" t="str">
        <f>CONCATENATE(" |}&lt;br&gt;* [http://atom.kaeri.re.kr/cgi-bin/nuclide?nuc=",B402," alle bekannten ",D402,"-Isotope]")</f>
        <v xml:space="preserve"> |}&lt;br&gt;* [http://atom.kaeri.re.kr/cgi-bin/nuclide?nuc=Hf alle bekannten Hafnium-Isotope]</v>
      </c>
    </row>
    <row r="403" spans="1:14" ht="15.9" customHeight="1">
      <c r="A403">
        <v>73</v>
      </c>
      <c r="B403" s="83" t="s">
        <v>356</v>
      </c>
      <c r="C403" s="73">
        <v>0</v>
      </c>
      <c r="D403" t="s">
        <v>357</v>
      </c>
      <c r="E403" t="s">
        <v>1175</v>
      </c>
      <c r="N403" t="str">
        <f>CONCATENATE("=== [[",D403,"]] ===&lt;br&gt;{| {{tabelle}}&lt;br&gt;! Isotop !! ",$D$1," !! [[",$E$1,"]] !! ",$F$1," &lt;br&gt; |-")</f>
        <v>=== [[Tantal]] ===&lt;br&gt;{| {{tabelle}}&lt;br&gt;! Isotop !! natürliche Häufigkeit !! [[Halbwertszeit]] !! Herkunft, techn. Bedeutung &lt;br&gt; |-</v>
      </c>
    </row>
    <row r="404" spans="1:14" ht="15.9" customHeight="1">
      <c r="A404" s="73">
        <v>73</v>
      </c>
      <c r="B404" s="81" t="s">
        <v>356</v>
      </c>
      <c r="C404" s="73">
        <v>180</v>
      </c>
      <c r="D404" s="73">
        <v>1.2E-2</v>
      </c>
      <c r="E404" t="s">
        <v>1175</v>
      </c>
      <c r="G404" t="str">
        <f>CONCATENATE("[","http://atom.kaeri.re.kr/cgi-bin/nuclide?nuc=",B404,"-",C404," &lt;sub&gt;",C404,"&lt;/sub&gt;",B404,"]")</f>
        <v>[http://atom.kaeri.re.kr/cgi-bin/nuclide?nuc=Ta-180 &lt;sub&gt;180&lt;/sub&gt;Ta]</v>
      </c>
      <c r="H404" t="str">
        <f>CONCATENATE(D404," % || ",E404)</f>
        <v>0,012 % || stabil</v>
      </c>
      <c r="I404" t="str">
        <f>CONCATENATE(" | ",G404," || ",H404," || ",F404)</f>
        <v xml:space="preserve"> | [http://atom.kaeri.re.kr/cgi-bin/nuclide?nuc=Ta-180 &lt;sub&gt;180&lt;/sub&gt;Ta] || 0,012 % || stabil || </v>
      </c>
      <c r="N404" t="str">
        <f>CONCATENATE(I404,"&lt;br&gt;"," |-")</f>
        <v xml:space="preserve"> | [http://atom.kaeri.re.kr/cgi-bin/nuclide?nuc=Ta-180 &lt;sub&gt;180&lt;/sub&gt;Ta] || 0,012 % || stabil || &lt;br&gt; |-</v>
      </c>
    </row>
    <row r="405" spans="1:14" ht="15.9" customHeight="1">
      <c r="A405" s="73">
        <v>73</v>
      </c>
      <c r="B405" s="81" t="s">
        <v>356</v>
      </c>
      <c r="C405" s="73">
        <v>181</v>
      </c>
      <c r="D405" s="73">
        <v>99.988</v>
      </c>
      <c r="E405" t="s">
        <v>1175</v>
      </c>
      <c r="G405" t="str">
        <f>CONCATENATE("[","http://atom.kaeri.re.kr/cgi-bin/nuclide?nuc=",B405,"-",C405," &lt;sub&gt;",C405,"&lt;/sub&gt;",B405,"]")</f>
        <v>[http://atom.kaeri.re.kr/cgi-bin/nuclide?nuc=Ta-181 &lt;sub&gt;181&lt;/sub&gt;Ta]</v>
      </c>
      <c r="H405" t="str">
        <f>CONCATENATE(D405," % || ",E405)</f>
        <v>99,988 % || stabil</v>
      </c>
      <c r="I405" t="str">
        <f>CONCATENATE(" | ",G405," || ",H405," || ",F405)</f>
        <v xml:space="preserve"> | [http://atom.kaeri.re.kr/cgi-bin/nuclide?nuc=Ta-181 &lt;sub&gt;181&lt;/sub&gt;Ta] || 99,988 % || stabil || </v>
      </c>
      <c r="N405" t="str">
        <f>CONCATENATE(I405,"&lt;br&gt;"," |-")</f>
        <v xml:space="preserve"> | [http://atom.kaeri.re.kr/cgi-bin/nuclide?nuc=Ta-181 &lt;sub&gt;181&lt;/sub&gt;Ta] || 99,988 % || stabil || &lt;br&gt; |-</v>
      </c>
    </row>
    <row r="406" spans="1:14" ht="15.9" customHeight="1">
      <c r="A406">
        <v>73</v>
      </c>
      <c r="B406" s="83" t="s">
        <v>356</v>
      </c>
      <c r="C406">
        <v>999</v>
      </c>
      <c r="D406" t="s">
        <v>357</v>
      </c>
      <c r="E406" t="s">
        <v>1175</v>
      </c>
      <c r="N406" t="str">
        <f>CONCATENATE(" |}&lt;br&gt;* [http://atom.kaeri.re.kr/cgi-bin/nuclide?nuc=",B406," alle bekannten ",D406,"-Isotope]")</f>
        <v xml:space="preserve"> |}&lt;br&gt;* [http://atom.kaeri.re.kr/cgi-bin/nuclide?nuc=Ta alle bekannten Tantal-Isotope]</v>
      </c>
    </row>
    <row r="407" spans="1:14" ht="15.9" customHeight="1">
      <c r="A407">
        <v>74</v>
      </c>
      <c r="B407" s="83" t="s">
        <v>358</v>
      </c>
      <c r="C407" s="73">
        <v>0</v>
      </c>
      <c r="D407" t="s">
        <v>359</v>
      </c>
      <c r="E407" t="s">
        <v>1175</v>
      </c>
      <c r="N407" t="str">
        <f>CONCATENATE("=== [[",D407,"]] ===&lt;br&gt;{| {{tabelle}}&lt;br&gt;! Isotop !! ",$D$1," !! [[",$E$1,"]] !! ",$F$1," &lt;br&gt; |-")</f>
        <v>=== [[Wolfram]] ===&lt;br&gt;{| {{tabelle}}&lt;br&gt;! Isotop !! natürliche Häufigkeit !! [[Halbwertszeit]] !! Herkunft, techn. Bedeutung &lt;br&gt; |-</v>
      </c>
    </row>
    <row r="408" spans="1:14" ht="15.9" customHeight="1">
      <c r="A408" s="73">
        <v>74</v>
      </c>
      <c r="B408" s="81" t="s">
        <v>358</v>
      </c>
      <c r="C408" s="73">
        <v>180</v>
      </c>
      <c r="D408" s="73">
        <v>0.12</v>
      </c>
      <c r="E408" t="s">
        <v>1175</v>
      </c>
      <c r="G408" t="str">
        <f>CONCATENATE("[","http://atom.kaeri.re.kr/cgi-bin/nuclide?nuc=",B408,"-",C408," &lt;sub&gt;",C408,"&lt;/sub&gt;",B408,"]")</f>
        <v>[http://atom.kaeri.re.kr/cgi-bin/nuclide?nuc=W-180 &lt;sub&gt;180&lt;/sub&gt;W]</v>
      </c>
      <c r="H408" t="str">
        <f>CONCATENATE(D408," % || ",E408)</f>
        <v>0,12 % || stabil</v>
      </c>
      <c r="I408" t="str">
        <f>CONCATENATE(" | ",G408," || ",H408," || ",F408)</f>
        <v xml:space="preserve"> | [http://atom.kaeri.re.kr/cgi-bin/nuclide?nuc=W-180 &lt;sub&gt;180&lt;/sub&gt;W] || 0,12 % || stabil || </v>
      </c>
      <c r="N408" t="str">
        <f>CONCATENATE(I408,"&lt;br&gt;"," |-")</f>
        <v xml:space="preserve"> | [http://atom.kaeri.re.kr/cgi-bin/nuclide?nuc=W-180 &lt;sub&gt;180&lt;/sub&gt;W] || 0,12 % || stabil || &lt;br&gt; |-</v>
      </c>
    </row>
    <row r="409" spans="1:14" ht="15.9" customHeight="1">
      <c r="A409" s="73">
        <v>74</v>
      </c>
      <c r="B409" s="81" t="s">
        <v>358</v>
      </c>
      <c r="C409" s="73">
        <v>182</v>
      </c>
      <c r="D409" s="73">
        <v>26.5</v>
      </c>
      <c r="E409" t="s">
        <v>1175</v>
      </c>
      <c r="G409" t="str">
        <f>CONCATENATE("[","http://atom.kaeri.re.kr/cgi-bin/nuclide?nuc=",B409,"-",C409," &lt;sub&gt;",C409,"&lt;/sub&gt;",B409,"]")</f>
        <v>[http://atom.kaeri.re.kr/cgi-bin/nuclide?nuc=W-182 &lt;sub&gt;182&lt;/sub&gt;W]</v>
      </c>
      <c r="H409" t="str">
        <f>CONCATENATE(D409," % || ",E409)</f>
        <v>26,5 % || stabil</v>
      </c>
      <c r="I409" t="str">
        <f>CONCATENATE(" | ",G409," || ",H409," || ",F409)</f>
        <v xml:space="preserve"> | [http://atom.kaeri.re.kr/cgi-bin/nuclide?nuc=W-182 &lt;sub&gt;182&lt;/sub&gt;W] || 26,5 % || stabil || </v>
      </c>
      <c r="N409" t="str">
        <f>CONCATENATE(I409,"&lt;br&gt;"," |-")</f>
        <v xml:space="preserve"> | [http://atom.kaeri.re.kr/cgi-bin/nuclide?nuc=W-182 &lt;sub&gt;182&lt;/sub&gt;W] || 26,5 % || stabil || &lt;br&gt; |-</v>
      </c>
    </row>
    <row r="410" spans="1:14" ht="15.9" customHeight="1">
      <c r="A410" s="73">
        <v>74</v>
      </c>
      <c r="B410" s="81" t="s">
        <v>358</v>
      </c>
      <c r="C410" s="73">
        <v>183</v>
      </c>
      <c r="D410" s="73">
        <v>14.31</v>
      </c>
      <c r="E410" t="s">
        <v>1175</v>
      </c>
      <c r="G410" t="str">
        <f>CONCATENATE("[","http://atom.kaeri.re.kr/cgi-bin/nuclide?nuc=",B410,"-",C410," &lt;sub&gt;",C410,"&lt;/sub&gt;",B410,"]")</f>
        <v>[http://atom.kaeri.re.kr/cgi-bin/nuclide?nuc=W-183 &lt;sub&gt;183&lt;/sub&gt;W]</v>
      </c>
      <c r="H410" t="str">
        <f>CONCATENATE(D410," % || ",E410)</f>
        <v>14,31 % || stabil</v>
      </c>
      <c r="I410" t="str">
        <f>CONCATENATE(" | ",G410," || ",H410," || ",F410)</f>
        <v xml:space="preserve"> | [http://atom.kaeri.re.kr/cgi-bin/nuclide?nuc=W-183 &lt;sub&gt;183&lt;/sub&gt;W] || 14,31 % || stabil || </v>
      </c>
      <c r="N410" t="str">
        <f>CONCATENATE(I410,"&lt;br&gt;"," |-")</f>
        <v xml:space="preserve"> | [http://atom.kaeri.re.kr/cgi-bin/nuclide?nuc=W-183 &lt;sub&gt;183&lt;/sub&gt;W] || 14,31 % || stabil || &lt;br&gt; |-</v>
      </c>
    </row>
    <row r="411" spans="1:14" ht="15.9" customHeight="1">
      <c r="A411" s="73">
        <v>74</v>
      </c>
      <c r="B411" s="81" t="s">
        <v>358</v>
      </c>
      <c r="C411" s="73">
        <v>184</v>
      </c>
      <c r="D411" s="73">
        <v>30.64</v>
      </c>
      <c r="E411" t="s">
        <v>1175</v>
      </c>
      <c r="G411" t="str">
        <f>CONCATENATE("[","http://atom.kaeri.re.kr/cgi-bin/nuclide?nuc=",B411,"-",C411," &lt;sub&gt;",C411,"&lt;/sub&gt;",B411,"]")</f>
        <v>[http://atom.kaeri.re.kr/cgi-bin/nuclide?nuc=W-184 &lt;sub&gt;184&lt;/sub&gt;W]</v>
      </c>
      <c r="H411" t="str">
        <f>CONCATENATE(D411," % || ",E411)</f>
        <v>30,64 % || stabil</v>
      </c>
      <c r="I411" t="str">
        <f>CONCATENATE(" | ",G411," || ",H411," || ",F411)</f>
        <v xml:space="preserve"> | [http://atom.kaeri.re.kr/cgi-bin/nuclide?nuc=W-184 &lt;sub&gt;184&lt;/sub&gt;W] || 30,64 % || stabil || </v>
      </c>
      <c r="N411" t="str">
        <f>CONCATENATE(I411,"&lt;br&gt;"," |-")</f>
        <v xml:space="preserve"> | [http://atom.kaeri.re.kr/cgi-bin/nuclide?nuc=W-184 &lt;sub&gt;184&lt;/sub&gt;W] || 30,64 % || stabil || &lt;br&gt; |-</v>
      </c>
    </row>
    <row r="412" spans="1:14" ht="15.9" customHeight="1">
      <c r="A412" s="73">
        <v>74</v>
      </c>
      <c r="B412" s="81" t="s">
        <v>358</v>
      </c>
      <c r="C412" s="73">
        <v>186</v>
      </c>
      <c r="D412" s="73">
        <v>28.43</v>
      </c>
      <c r="E412" t="s">
        <v>1175</v>
      </c>
      <c r="G412" t="str">
        <f>CONCATENATE("[","http://atom.kaeri.re.kr/cgi-bin/nuclide?nuc=",B412,"-",C412," &lt;sub&gt;",C412,"&lt;/sub&gt;",B412,"]")</f>
        <v>[http://atom.kaeri.re.kr/cgi-bin/nuclide?nuc=W-186 &lt;sub&gt;186&lt;/sub&gt;W]</v>
      </c>
      <c r="H412" t="str">
        <f>CONCATENATE(D412," % || ",E412)</f>
        <v>28,43 % || stabil</v>
      </c>
      <c r="I412" t="str">
        <f>CONCATENATE(" | ",G412," || ",H412," || ",F412)</f>
        <v xml:space="preserve"> | [http://atom.kaeri.re.kr/cgi-bin/nuclide?nuc=W-186 &lt;sub&gt;186&lt;/sub&gt;W] || 28,43 % || stabil || </v>
      </c>
      <c r="N412" t="str">
        <f>CONCATENATE(I412,"&lt;br&gt;"," |-")</f>
        <v xml:space="preserve"> | [http://atom.kaeri.re.kr/cgi-bin/nuclide?nuc=W-186 &lt;sub&gt;186&lt;/sub&gt;W] || 28,43 % || stabil || &lt;br&gt; |-</v>
      </c>
    </row>
    <row r="413" spans="1:14" ht="15.9" customHeight="1">
      <c r="A413">
        <v>74</v>
      </c>
      <c r="B413" s="83" t="s">
        <v>358</v>
      </c>
      <c r="C413">
        <v>999</v>
      </c>
      <c r="D413" t="s">
        <v>359</v>
      </c>
      <c r="E413" t="s">
        <v>1175</v>
      </c>
      <c r="N413" t="str">
        <f>CONCATENATE(" |}&lt;br&gt;* [http://atom.kaeri.re.kr/cgi-bin/nuclide?nuc=",B413," alle bekannten ",D413,"-Isotope]")</f>
        <v xml:space="preserve"> |}&lt;br&gt;* [http://atom.kaeri.re.kr/cgi-bin/nuclide?nuc=W alle bekannten Wolfram-Isotope]</v>
      </c>
    </row>
    <row r="414" spans="1:14" ht="15.9" customHeight="1">
      <c r="A414">
        <v>75</v>
      </c>
      <c r="B414" s="83" t="s">
        <v>362</v>
      </c>
      <c r="C414" s="73">
        <v>0</v>
      </c>
      <c r="D414" t="s">
        <v>363</v>
      </c>
      <c r="E414" t="s">
        <v>1175</v>
      </c>
      <c r="N414" t="str">
        <f>CONCATENATE("=== [[",D414,"]] ===&lt;br&gt;{| {{tabelle}}&lt;br&gt;! Isotop !! ",$D$1," !! [[",$E$1,"]] !! ",$F$1," &lt;br&gt; |-")</f>
        <v>=== [[Rhenium]] ===&lt;br&gt;{| {{tabelle}}&lt;br&gt;! Isotop !! natürliche Häufigkeit !! [[Halbwertszeit]] !! Herkunft, techn. Bedeutung &lt;br&gt; |-</v>
      </c>
    </row>
    <row r="415" spans="1:14" ht="15.9" customHeight="1">
      <c r="A415" s="73">
        <v>75</v>
      </c>
      <c r="B415" s="81" t="s">
        <v>362</v>
      </c>
      <c r="C415" s="73">
        <v>185</v>
      </c>
      <c r="D415" s="73">
        <v>37.4</v>
      </c>
      <c r="E415" t="s">
        <v>1175</v>
      </c>
      <c r="G415" t="str">
        <f>CONCATENATE("[","http://atom.kaeri.re.kr/cgi-bin/nuclide?nuc=",B415,"-",C415," &lt;sub&gt;",C415,"&lt;/sub&gt;",B415,"]")</f>
        <v>[http://atom.kaeri.re.kr/cgi-bin/nuclide?nuc=Re-185 &lt;sub&gt;185&lt;/sub&gt;Re]</v>
      </c>
      <c r="H415" t="str">
        <f>CONCATENATE(D415," % || ",E415)</f>
        <v>37,4 % || stabil</v>
      </c>
      <c r="I415" t="str">
        <f>CONCATENATE(" | ",G415," || ",H415," || ",F415)</f>
        <v xml:space="preserve"> | [http://atom.kaeri.re.kr/cgi-bin/nuclide?nuc=Re-185 &lt;sub&gt;185&lt;/sub&gt;Re] || 37,4 % || stabil || </v>
      </c>
      <c r="N415" t="str">
        <f>CONCATENATE(I415,"&lt;br&gt;"," |-")</f>
        <v xml:space="preserve"> | [http://atom.kaeri.re.kr/cgi-bin/nuclide?nuc=Re-185 &lt;sub&gt;185&lt;/sub&gt;Re] || 37,4 % || stabil || &lt;br&gt; |-</v>
      </c>
    </row>
    <row r="416" spans="1:14" ht="15.9" customHeight="1">
      <c r="A416" s="73">
        <v>75</v>
      </c>
      <c r="B416" s="81" t="s">
        <v>362</v>
      </c>
      <c r="C416" s="73">
        <v>187</v>
      </c>
      <c r="D416" s="73">
        <v>62.6</v>
      </c>
      <c r="E416" t="s">
        <v>1175</v>
      </c>
      <c r="G416" t="str">
        <f>CONCATENATE("[","http://atom.kaeri.re.kr/cgi-bin/nuclide?nuc=",B416,"-",C416," &lt;sub&gt;",C416,"&lt;/sub&gt;",B416,"]")</f>
        <v>[http://atom.kaeri.re.kr/cgi-bin/nuclide?nuc=Re-187 &lt;sub&gt;187&lt;/sub&gt;Re]</v>
      </c>
      <c r="H416" t="str">
        <f>CONCATENATE(D416," % || ",E416)</f>
        <v>62,6 % || stabil</v>
      </c>
      <c r="I416" t="str">
        <f>CONCATENATE(" | ",G416," || ",H416," || ",F416)</f>
        <v xml:space="preserve"> | [http://atom.kaeri.re.kr/cgi-bin/nuclide?nuc=Re-187 &lt;sub&gt;187&lt;/sub&gt;Re] || 62,6 % || stabil || </v>
      </c>
      <c r="N416" t="str">
        <f>CONCATENATE(I416,"&lt;br&gt;"," |-")</f>
        <v xml:space="preserve"> | [http://atom.kaeri.re.kr/cgi-bin/nuclide?nuc=Re-187 &lt;sub&gt;187&lt;/sub&gt;Re] || 62,6 % || stabil || &lt;br&gt; |-</v>
      </c>
    </row>
    <row r="417" spans="1:14" ht="15.9" customHeight="1">
      <c r="A417">
        <v>75</v>
      </c>
      <c r="B417" s="83" t="s">
        <v>362</v>
      </c>
      <c r="C417">
        <v>999</v>
      </c>
      <c r="D417" t="s">
        <v>363</v>
      </c>
      <c r="E417" t="s">
        <v>1175</v>
      </c>
      <c r="N417" t="str">
        <f>CONCATENATE(" |}&lt;br&gt;* [http://atom.kaeri.re.kr/cgi-bin/nuclide?nuc=",B417," alle bekannten ",D417,"-Isotope]")</f>
        <v xml:space="preserve"> |}&lt;br&gt;* [http://atom.kaeri.re.kr/cgi-bin/nuclide?nuc=Re alle bekannten Rhenium-Isotope]</v>
      </c>
    </row>
    <row r="418" spans="1:14" ht="15.9" customHeight="1">
      <c r="A418">
        <v>76</v>
      </c>
      <c r="B418" s="83" t="s">
        <v>365</v>
      </c>
      <c r="C418" s="73">
        <v>0</v>
      </c>
      <c r="D418" t="s">
        <v>366</v>
      </c>
      <c r="E418" t="s">
        <v>1175</v>
      </c>
      <c r="N418" t="str">
        <f>CONCATENATE("=== [[",D418,"]] ===&lt;br&gt;{| {{tabelle}}&lt;br&gt;! Isotop !! ",$D$1," !! [[",$E$1,"]] !! ",$F$1," &lt;br&gt; |-")</f>
        <v>=== [[Osmium]] ===&lt;br&gt;{| {{tabelle}}&lt;br&gt;! Isotop !! natürliche Häufigkeit !! [[Halbwertszeit]] !! Herkunft, techn. Bedeutung &lt;br&gt; |-</v>
      </c>
    </row>
    <row r="419" spans="1:14" ht="15.9" customHeight="1">
      <c r="A419" s="73">
        <v>76</v>
      </c>
      <c r="B419" s="81" t="s">
        <v>365</v>
      </c>
      <c r="C419" s="73">
        <v>184</v>
      </c>
      <c r="D419" s="73">
        <v>0.02</v>
      </c>
      <c r="E419" t="s">
        <v>1175</v>
      </c>
      <c r="G419" t="str">
        <f t="shared" ref="G419:G425" si="72">CONCATENATE("[","http://atom.kaeri.re.kr/cgi-bin/nuclide?nuc=",B419,"-",C419," &lt;sub&gt;",C419,"&lt;/sub&gt;",B419,"]")</f>
        <v>[http://atom.kaeri.re.kr/cgi-bin/nuclide?nuc=Os-184 &lt;sub&gt;184&lt;/sub&gt;Os]</v>
      </c>
      <c r="H419" t="str">
        <f t="shared" ref="H419:H425" si="73">CONCATENATE(D419," % || ",E419)</f>
        <v>0,02 % || stabil</v>
      </c>
      <c r="I419" t="str">
        <f t="shared" ref="I419:I425" si="74">CONCATENATE(" | ",G419," || ",H419," || ",F419)</f>
        <v xml:space="preserve"> | [http://atom.kaeri.re.kr/cgi-bin/nuclide?nuc=Os-184 &lt;sub&gt;184&lt;/sub&gt;Os] || 0,02 % || stabil || </v>
      </c>
      <c r="N419" t="str">
        <f t="shared" ref="N419:N425" si="75">CONCATENATE(I419,"&lt;br&gt;"," |-")</f>
        <v xml:space="preserve"> | [http://atom.kaeri.re.kr/cgi-bin/nuclide?nuc=Os-184 &lt;sub&gt;184&lt;/sub&gt;Os] || 0,02 % || stabil || &lt;br&gt; |-</v>
      </c>
    </row>
    <row r="420" spans="1:14" ht="15.9" customHeight="1">
      <c r="A420" s="73">
        <v>76</v>
      </c>
      <c r="B420" s="81" t="s">
        <v>365</v>
      </c>
      <c r="C420" s="73">
        <v>186</v>
      </c>
      <c r="D420" s="73">
        <v>1.59</v>
      </c>
      <c r="E420" t="s">
        <v>1175</v>
      </c>
      <c r="G420" t="str">
        <f t="shared" si="72"/>
        <v>[http://atom.kaeri.re.kr/cgi-bin/nuclide?nuc=Os-186 &lt;sub&gt;186&lt;/sub&gt;Os]</v>
      </c>
      <c r="H420" t="str">
        <f t="shared" si="73"/>
        <v>1,59 % || stabil</v>
      </c>
      <c r="I420" t="str">
        <f t="shared" si="74"/>
        <v xml:space="preserve"> | [http://atom.kaeri.re.kr/cgi-bin/nuclide?nuc=Os-186 &lt;sub&gt;186&lt;/sub&gt;Os] || 1,59 % || stabil || </v>
      </c>
      <c r="N420" t="str">
        <f t="shared" si="75"/>
        <v xml:space="preserve"> | [http://atom.kaeri.re.kr/cgi-bin/nuclide?nuc=Os-186 &lt;sub&gt;186&lt;/sub&gt;Os] || 1,59 % || stabil || &lt;br&gt; |-</v>
      </c>
    </row>
    <row r="421" spans="1:14" ht="15.9" customHeight="1">
      <c r="A421" s="73">
        <v>76</v>
      </c>
      <c r="B421" s="81" t="s">
        <v>365</v>
      </c>
      <c r="C421" s="73">
        <v>187</v>
      </c>
      <c r="D421" s="73">
        <v>1.96</v>
      </c>
      <c r="E421" t="s">
        <v>1175</v>
      </c>
      <c r="G421" t="str">
        <f t="shared" si="72"/>
        <v>[http://atom.kaeri.re.kr/cgi-bin/nuclide?nuc=Os-187 &lt;sub&gt;187&lt;/sub&gt;Os]</v>
      </c>
      <c r="H421" t="str">
        <f t="shared" si="73"/>
        <v>1,96 % || stabil</v>
      </c>
      <c r="I421" t="str">
        <f t="shared" si="74"/>
        <v xml:space="preserve"> | [http://atom.kaeri.re.kr/cgi-bin/nuclide?nuc=Os-187 &lt;sub&gt;187&lt;/sub&gt;Os] || 1,96 % || stabil || </v>
      </c>
      <c r="N421" t="str">
        <f t="shared" si="75"/>
        <v xml:space="preserve"> | [http://atom.kaeri.re.kr/cgi-bin/nuclide?nuc=Os-187 &lt;sub&gt;187&lt;/sub&gt;Os] || 1,96 % || stabil || &lt;br&gt; |-</v>
      </c>
    </row>
    <row r="422" spans="1:14" ht="15.9" customHeight="1">
      <c r="A422" s="73">
        <v>76</v>
      </c>
      <c r="B422" s="81" t="s">
        <v>365</v>
      </c>
      <c r="C422" s="73">
        <v>188</v>
      </c>
      <c r="D422" s="73">
        <v>13.24</v>
      </c>
      <c r="E422" t="s">
        <v>1175</v>
      </c>
      <c r="G422" t="str">
        <f t="shared" si="72"/>
        <v>[http://atom.kaeri.re.kr/cgi-bin/nuclide?nuc=Os-188 &lt;sub&gt;188&lt;/sub&gt;Os]</v>
      </c>
      <c r="H422" t="str">
        <f t="shared" si="73"/>
        <v>13,24 % || stabil</v>
      </c>
      <c r="I422" t="str">
        <f t="shared" si="74"/>
        <v xml:space="preserve"> | [http://atom.kaeri.re.kr/cgi-bin/nuclide?nuc=Os-188 &lt;sub&gt;188&lt;/sub&gt;Os] || 13,24 % || stabil || </v>
      </c>
      <c r="N422" t="str">
        <f t="shared" si="75"/>
        <v xml:space="preserve"> | [http://atom.kaeri.re.kr/cgi-bin/nuclide?nuc=Os-188 &lt;sub&gt;188&lt;/sub&gt;Os] || 13,24 % || stabil || &lt;br&gt; |-</v>
      </c>
    </row>
    <row r="423" spans="1:14" ht="15.9" customHeight="1">
      <c r="A423" s="73">
        <v>76</v>
      </c>
      <c r="B423" s="81" t="s">
        <v>365</v>
      </c>
      <c r="C423" s="73">
        <v>189</v>
      </c>
      <c r="D423" s="73">
        <v>16.149999999999999</v>
      </c>
      <c r="E423" t="s">
        <v>1175</v>
      </c>
      <c r="G423" t="str">
        <f t="shared" si="72"/>
        <v>[http://atom.kaeri.re.kr/cgi-bin/nuclide?nuc=Os-189 &lt;sub&gt;189&lt;/sub&gt;Os]</v>
      </c>
      <c r="H423" t="str">
        <f t="shared" si="73"/>
        <v>16,15 % || stabil</v>
      </c>
      <c r="I423" t="str">
        <f t="shared" si="74"/>
        <v xml:space="preserve"> | [http://atom.kaeri.re.kr/cgi-bin/nuclide?nuc=Os-189 &lt;sub&gt;189&lt;/sub&gt;Os] || 16,15 % || stabil || </v>
      </c>
      <c r="N423" t="str">
        <f t="shared" si="75"/>
        <v xml:space="preserve"> | [http://atom.kaeri.re.kr/cgi-bin/nuclide?nuc=Os-189 &lt;sub&gt;189&lt;/sub&gt;Os] || 16,15 % || stabil || &lt;br&gt; |-</v>
      </c>
    </row>
    <row r="424" spans="1:14" ht="15.9" customHeight="1">
      <c r="A424" s="73">
        <v>76</v>
      </c>
      <c r="B424" s="81" t="s">
        <v>365</v>
      </c>
      <c r="C424" s="73">
        <v>190</v>
      </c>
      <c r="D424" s="73">
        <v>26.26</v>
      </c>
      <c r="E424" t="s">
        <v>1175</v>
      </c>
      <c r="G424" t="str">
        <f t="shared" si="72"/>
        <v>[http://atom.kaeri.re.kr/cgi-bin/nuclide?nuc=Os-190 &lt;sub&gt;190&lt;/sub&gt;Os]</v>
      </c>
      <c r="H424" t="str">
        <f t="shared" si="73"/>
        <v>26,26 % || stabil</v>
      </c>
      <c r="I424" t="str">
        <f t="shared" si="74"/>
        <v xml:space="preserve"> | [http://atom.kaeri.re.kr/cgi-bin/nuclide?nuc=Os-190 &lt;sub&gt;190&lt;/sub&gt;Os] || 26,26 % || stabil || </v>
      </c>
      <c r="N424" t="str">
        <f t="shared" si="75"/>
        <v xml:space="preserve"> | [http://atom.kaeri.re.kr/cgi-bin/nuclide?nuc=Os-190 &lt;sub&gt;190&lt;/sub&gt;Os] || 26,26 % || stabil || &lt;br&gt; |-</v>
      </c>
    </row>
    <row r="425" spans="1:14" ht="15.9" customHeight="1">
      <c r="A425" s="73">
        <v>76</v>
      </c>
      <c r="B425" s="81" t="s">
        <v>365</v>
      </c>
      <c r="C425" s="73">
        <v>192</v>
      </c>
      <c r="D425" s="73">
        <v>40.78</v>
      </c>
      <c r="E425" t="s">
        <v>1175</v>
      </c>
      <c r="G425" t="str">
        <f t="shared" si="72"/>
        <v>[http://atom.kaeri.re.kr/cgi-bin/nuclide?nuc=Os-192 &lt;sub&gt;192&lt;/sub&gt;Os]</v>
      </c>
      <c r="H425" t="str">
        <f t="shared" si="73"/>
        <v>40,78 % || stabil</v>
      </c>
      <c r="I425" t="str">
        <f t="shared" si="74"/>
        <v xml:space="preserve"> | [http://atom.kaeri.re.kr/cgi-bin/nuclide?nuc=Os-192 &lt;sub&gt;192&lt;/sub&gt;Os] || 40,78 % || stabil || </v>
      </c>
      <c r="N425" t="str">
        <f t="shared" si="75"/>
        <v xml:space="preserve"> | [http://atom.kaeri.re.kr/cgi-bin/nuclide?nuc=Os-192 &lt;sub&gt;192&lt;/sub&gt;Os] || 40,78 % || stabil || &lt;br&gt; |-</v>
      </c>
    </row>
    <row r="426" spans="1:14" ht="15.9" customHeight="1">
      <c r="A426">
        <v>76</v>
      </c>
      <c r="B426" s="83" t="s">
        <v>365</v>
      </c>
      <c r="C426">
        <v>999</v>
      </c>
      <c r="D426" t="s">
        <v>366</v>
      </c>
      <c r="E426" t="s">
        <v>1175</v>
      </c>
      <c r="N426" t="str">
        <f>CONCATENATE(" |}&lt;br&gt;* [http://atom.kaeri.re.kr/cgi-bin/nuclide?nuc=",B426," alle bekannten ",D426,"-Isotope]")</f>
        <v xml:space="preserve"> |}&lt;br&gt;* [http://atom.kaeri.re.kr/cgi-bin/nuclide?nuc=Os alle bekannten Osmium-Isotope]</v>
      </c>
    </row>
    <row r="427" spans="1:14" ht="15.9" customHeight="1">
      <c r="A427">
        <v>77</v>
      </c>
      <c r="B427" s="83" t="s">
        <v>368</v>
      </c>
      <c r="C427" s="73">
        <v>0</v>
      </c>
      <c r="D427" t="s">
        <v>369</v>
      </c>
      <c r="E427" t="s">
        <v>1175</v>
      </c>
      <c r="N427" t="str">
        <f>CONCATENATE("=== [[",D427,"]] ===&lt;br&gt;{| {{tabelle}}&lt;br&gt;! Isotop !! ",$D$1," !! [[",$E$1,"]] !! ",$F$1," &lt;br&gt; |-")</f>
        <v>=== [[Iridium]] ===&lt;br&gt;{| {{tabelle}}&lt;br&gt;! Isotop !! natürliche Häufigkeit !! [[Halbwertszeit]] !! Herkunft, techn. Bedeutung &lt;br&gt; |-</v>
      </c>
    </row>
    <row r="428" spans="1:14" ht="15.9" customHeight="1">
      <c r="A428" s="73">
        <v>77</v>
      </c>
      <c r="B428" s="81" t="s">
        <v>368</v>
      </c>
      <c r="C428" s="73">
        <v>191</v>
      </c>
      <c r="D428" s="73">
        <v>37.299999999999997</v>
      </c>
      <c r="E428" t="s">
        <v>1175</v>
      </c>
      <c r="G428" t="str">
        <f>CONCATENATE("[","http://atom.kaeri.re.kr/cgi-bin/nuclide?nuc=",B428,"-",C428," &lt;sub&gt;",C428,"&lt;/sub&gt;",B428,"]")</f>
        <v>[http://atom.kaeri.re.kr/cgi-bin/nuclide?nuc=Ir-191 &lt;sub&gt;191&lt;/sub&gt;Ir]</v>
      </c>
      <c r="H428" t="str">
        <f>CONCATENATE(D428," % || ",E428)</f>
        <v>37,3 % || stabil</v>
      </c>
      <c r="I428" t="str">
        <f>CONCATENATE(" | ",G428," || ",H428," || ",F428)</f>
        <v xml:space="preserve"> | [http://atom.kaeri.re.kr/cgi-bin/nuclide?nuc=Ir-191 &lt;sub&gt;191&lt;/sub&gt;Ir] || 37,3 % || stabil || </v>
      </c>
      <c r="N428" t="str">
        <f>CONCATENATE(I428,"&lt;br&gt;"," |-")</f>
        <v xml:space="preserve"> | [http://atom.kaeri.re.kr/cgi-bin/nuclide?nuc=Ir-191 &lt;sub&gt;191&lt;/sub&gt;Ir] || 37,3 % || stabil || &lt;br&gt; |-</v>
      </c>
    </row>
    <row r="429" spans="1:14" s="78" customFormat="1" ht="15.9" customHeight="1">
      <c r="A429" s="73">
        <v>77</v>
      </c>
      <c r="B429" s="82" t="s">
        <v>368</v>
      </c>
      <c r="C429" s="79">
        <v>192</v>
      </c>
      <c r="D429" s="78" t="s">
        <v>1068</v>
      </c>
      <c r="E429" t="s">
        <v>1171</v>
      </c>
      <c r="F429" t="s">
        <v>1194</v>
      </c>
      <c r="G429" t="str">
        <f>CONCATENATE("[","http://atom.kaeri.re.kr/cgi-bin/nuclide?nuc=",B429,"-",C429," &lt;sub&gt;",C429,"&lt;/sub&gt;",B429,"]")</f>
        <v>[http://atom.kaeri.re.kr/cgi-bin/nuclide?nuc=Ir-192 &lt;sub&gt;192&lt;/sub&gt;Ir]</v>
      </c>
      <c r="H429" t="str">
        <f>CONCATENATE(D429," % || ",E429)</f>
        <v>- % || 74 Tage</v>
      </c>
      <c r="I429" t="str">
        <f>CONCATENATE(" | ",G429," || ",H429," || ",F429)</f>
        <v xml:space="preserve"> | [http://atom.kaeri.re.kr/cgi-bin/nuclide?nuc=Ir-192 &lt;sub&gt;192&lt;/sub&gt;Ir] || - % || 74 Tage || [[radioaktiv]], Prüftechnik, Medizin</v>
      </c>
      <c r="J429"/>
      <c r="K429"/>
      <c r="L429"/>
      <c r="M429"/>
      <c r="N429" t="str">
        <f>CONCATENATE(I429,"&lt;br&gt;"," |-")</f>
        <v xml:space="preserve"> | [http://atom.kaeri.re.kr/cgi-bin/nuclide?nuc=Ir-192 &lt;sub&gt;192&lt;/sub&gt;Ir] || - % || 74 Tage || [[radioaktiv]], Prüftechnik, Medizin&lt;br&gt; |-</v>
      </c>
    </row>
    <row r="430" spans="1:14" ht="15.9" customHeight="1">
      <c r="A430" s="73">
        <v>77</v>
      </c>
      <c r="B430" s="81" t="s">
        <v>368</v>
      </c>
      <c r="C430" s="73">
        <v>193</v>
      </c>
      <c r="D430" s="73">
        <v>62.7</v>
      </c>
      <c r="E430" t="s">
        <v>1175</v>
      </c>
      <c r="G430" t="str">
        <f>CONCATENATE("[","http://atom.kaeri.re.kr/cgi-bin/nuclide?nuc=",B430,"-",C430," &lt;sub&gt;",C430,"&lt;/sub&gt;",B430,"]")</f>
        <v>[http://atom.kaeri.re.kr/cgi-bin/nuclide?nuc=Ir-193 &lt;sub&gt;193&lt;/sub&gt;Ir]</v>
      </c>
      <c r="H430" t="str">
        <f>CONCATENATE(D430," % || ",E430)</f>
        <v>62,7 % || stabil</v>
      </c>
      <c r="I430" t="str">
        <f>CONCATENATE(" | ",G430," || ",H430," || ",F430)</f>
        <v xml:space="preserve"> | [http://atom.kaeri.re.kr/cgi-bin/nuclide?nuc=Ir-193 &lt;sub&gt;193&lt;/sub&gt;Ir] || 62,7 % || stabil || </v>
      </c>
      <c r="N430" t="str">
        <f>CONCATENATE(I430,"&lt;br&gt;"," |-")</f>
        <v xml:space="preserve"> | [http://atom.kaeri.re.kr/cgi-bin/nuclide?nuc=Ir-193 &lt;sub&gt;193&lt;/sub&gt;Ir] || 62,7 % || stabil || &lt;br&gt; |-</v>
      </c>
    </row>
    <row r="431" spans="1:14" ht="15.9" customHeight="1">
      <c r="A431">
        <v>77</v>
      </c>
      <c r="B431" s="83" t="s">
        <v>368</v>
      </c>
      <c r="C431">
        <v>999</v>
      </c>
      <c r="D431" t="s">
        <v>369</v>
      </c>
      <c r="E431" t="s">
        <v>1175</v>
      </c>
      <c r="N431" t="str">
        <f>CONCATENATE(" |}&lt;br&gt;* [http://atom.kaeri.re.kr/cgi-bin/nuclide?nuc=",B431," alle bekannten ",D431,"-Isotope]")</f>
        <v xml:space="preserve"> |}&lt;br&gt;* [http://atom.kaeri.re.kr/cgi-bin/nuclide?nuc=Ir alle bekannten Iridium-Isotope]</v>
      </c>
    </row>
    <row r="432" spans="1:14" ht="15.9" customHeight="1">
      <c r="A432">
        <v>78</v>
      </c>
      <c r="B432" s="83" t="s">
        <v>371</v>
      </c>
      <c r="C432" s="73">
        <v>0</v>
      </c>
      <c r="D432" t="s">
        <v>372</v>
      </c>
      <c r="E432" t="s">
        <v>1175</v>
      </c>
      <c r="N432" t="str">
        <f>CONCATENATE("=== [[",D432,"]] ===&lt;br&gt;{| {{tabelle}}&lt;br&gt;! Isotop !! ",$D$1," !! [[",$E$1,"]] !! ",$F$1," &lt;br&gt; |-")</f>
        <v>=== [[Platin]] ===&lt;br&gt;{| {{tabelle}}&lt;br&gt;! Isotop !! natürliche Häufigkeit !! [[Halbwertszeit]] !! Herkunft, techn. Bedeutung &lt;br&gt; |-</v>
      </c>
    </row>
    <row r="433" spans="1:14" ht="15.9" customHeight="1">
      <c r="A433" s="73">
        <v>78</v>
      </c>
      <c r="B433" s="81" t="s">
        <v>371</v>
      </c>
      <c r="C433" s="73">
        <v>190</v>
      </c>
      <c r="D433" s="73">
        <v>1.4E-2</v>
      </c>
      <c r="E433" t="s">
        <v>1175</v>
      </c>
      <c r="G433" t="str">
        <f t="shared" ref="G433:G438" si="76">CONCATENATE("[","http://atom.kaeri.re.kr/cgi-bin/nuclide?nuc=",B433,"-",C433," &lt;sub&gt;",C433,"&lt;/sub&gt;",B433,"]")</f>
        <v>[http://atom.kaeri.re.kr/cgi-bin/nuclide?nuc=Pt-190 &lt;sub&gt;190&lt;/sub&gt;Pt]</v>
      </c>
      <c r="H433" t="str">
        <f t="shared" ref="H433:H438" si="77">CONCATENATE(D433," % || ",E433)</f>
        <v>0,014 % || stabil</v>
      </c>
      <c r="I433" t="str">
        <f t="shared" ref="I433:I438" si="78">CONCATENATE(" | ",G433," || ",H433," || ",F433)</f>
        <v xml:space="preserve"> | [http://atom.kaeri.re.kr/cgi-bin/nuclide?nuc=Pt-190 &lt;sub&gt;190&lt;/sub&gt;Pt] || 0,014 % || stabil || </v>
      </c>
      <c r="N433" t="str">
        <f t="shared" ref="N433:N438" si="79">CONCATENATE(I433,"&lt;br&gt;"," |-")</f>
        <v xml:space="preserve"> | [http://atom.kaeri.re.kr/cgi-bin/nuclide?nuc=Pt-190 &lt;sub&gt;190&lt;/sub&gt;Pt] || 0,014 % || stabil || &lt;br&gt; |-</v>
      </c>
    </row>
    <row r="434" spans="1:14" ht="15.9" customHeight="1">
      <c r="A434" s="73">
        <v>78</v>
      </c>
      <c r="B434" s="81" t="s">
        <v>371</v>
      </c>
      <c r="C434" s="73">
        <v>192</v>
      </c>
      <c r="D434" s="73">
        <v>0.78200000000000003</v>
      </c>
      <c r="E434" t="s">
        <v>1175</v>
      </c>
      <c r="G434" t="str">
        <f t="shared" si="76"/>
        <v>[http://atom.kaeri.re.kr/cgi-bin/nuclide?nuc=Pt-192 &lt;sub&gt;192&lt;/sub&gt;Pt]</v>
      </c>
      <c r="H434" t="str">
        <f t="shared" si="77"/>
        <v>0,782 % || stabil</v>
      </c>
      <c r="I434" t="str">
        <f t="shared" si="78"/>
        <v xml:space="preserve"> | [http://atom.kaeri.re.kr/cgi-bin/nuclide?nuc=Pt-192 &lt;sub&gt;192&lt;/sub&gt;Pt] || 0,782 % || stabil || </v>
      </c>
      <c r="N434" t="str">
        <f t="shared" si="79"/>
        <v xml:space="preserve"> | [http://atom.kaeri.re.kr/cgi-bin/nuclide?nuc=Pt-192 &lt;sub&gt;192&lt;/sub&gt;Pt] || 0,782 % || stabil || &lt;br&gt; |-</v>
      </c>
    </row>
    <row r="435" spans="1:14" ht="15.9" customHeight="1">
      <c r="A435" s="73">
        <v>78</v>
      </c>
      <c r="B435" s="81" t="s">
        <v>371</v>
      </c>
      <c r="C435" s="73">
        <v>194</v>
      </c>
      <c r="D435" s="73">
        <v>32.966999999999999</v>
      </c>
      <c r="E435" t="s">
        <v>1175</v>
      </c>
      <c r="G435" t="str">
        <f t="shared" si="76"/>
        <v>[http://atom.kaeri.re.kr/cgi-bin/nuclide?nuc=Pt-194 &lt;sub&gt;194&lt;/sub&gt;Pt]</v>
      </c>
      <c r="H435" t="str">
        <f t="shared" si="77"/>
        <v>32,967 % || stabil</v>
      </c>
      <c r="I435" t="str">
        <f t="shared" si="78"/>
        <v xml:space="preserve"> | [http://atom.kaeri.re.kr/cgi-bin/nuclide?nuc=Pt-194 &lt;sub&gt;194&lt;/sub&gt;Pt] || 32,967 % || stabil || </v>
      </c>
      <c r="N435" t="str">
        <f t="shared" si="79"/>
        <v xml:space="preserve"> | [http://atom.kaeri.re.kr/cgi-bin/nuclide?nuc=Pt-194 &lt;sub&gt;194&lt;/sub&gt;Pt] || 32,967 % || stabil || &lt;br&gt; |-</v>
      </c>
    </row>
    <row r="436" spans="1:14" ht="15.9" customHeight="1">
      <c r="A436" s="73">
        <v>78</v>
      </c>
      <c r="B436" s="81" t="s">
        <v>371</v>
      </c>
      <c r="C436" s="73">
        <v>195</v>
      </c>
      <c r="D436" s="73">
        <v>33.832000000000001</v>
      </c>
      <c r="E436" t="s">
        <v>1175</v>
      </c>
      <c r="G436" t="str">
        <f t="shared" si="76"/>
        <v>[http://atom.kaeri.re.kr/cgi-bin/nuclide?nuc=Pt-195 &lt;sub&gt;195&lt;/sub&gt;Pt]</v>
      </c>
      <c r="H436" t="str">
        <f t="shared" si="77"/>
        <v>33,832 % || stabil</v>
      </c>
      <c r="I436" t="str">
        <f t="shared" si="78"/>
        <v xml:space="preserve"> | [http://atom.kaeri.re.kr/cgi-bin/nuclide?nuc=Pt-195 &lt;sub&gt;195&lt;/sub&gt;Pt] || 33,832 % || stabil || </v>
      </c>
      <c r="N436" t="str">
        <f t="shared" si="79"/>
        <v xml:space="preserve"> | [http://atom.kaeri.re.kr/cgi-bin/nuclide?nuc=Pt-195 &lt;sub&gt;195&lt;/sub&gt;Pt] || 33,832 % || stabil || &lt;br&gt; |-</v>
      </c>
    </row>
    <row r="437" spans="1:14" ht="15.9" customHeight="1">
      <c r="A437" s="73">
        <v>78</v>
      </c>
      <c r="B437" s="81" t="s">
        <v>371</v>
      </c>
      <c r="C437" s="73">
        <v>196</v>
      </c>
      <c r="D437" s="73">
        <v>25.242000000000001</v>
      </c>
      <c r="E437" t="s">
        <v>1175</v>
      </c>
      <c r="G437" t="str">
        <f t="shared" si="76"/>
        <v>[http://atom.kaeri.re.kr/cgi-bin/nuclide?nuc=Pt-196 &lt;sub&gt;196&lt;/sub&gt;Pt]</v>
      </c>
      <c r="H437" t="str">
        <f t="shared" si="77"/>
        <v>25,242 % || stabil</v>
      </c>
      <c r="I437" t="str">
        <f t="shared" si="78"/>
        <v xml:space="preserve"> | [http://atom.kaeri.re.kr/cgi-bin/nuclide?nuc=Pt-196 &lt;sub&gt;196&lt;/sub&gt;Pt] || 25,242 % || stabil || </v>
      </c>
      <c r="N437" t="str">
        <f t="shared" si="79"/>
        <v xml:space="preserve"> | [http://atom.kaeri.re.kr/cgi-bin/nuclide?nuc=Pt-196 &lt;sub&gt;196&lt;/sub&gt;Pt] || 25,242 % || stabil || &lt;br&gt; |-</v>
      </c>
    </row>
    <row r="438" spans="1:14" ht="15.9" customHeight="1">
      <c r="A438" s="73">
        <v>78</v>
      </c>
      <c r="B438" s="81" t="s">
        <v>371</v>
      </c>
      <c r="C438" s="73">
        <v>198</v>
      </c>
      <c r="D438" s="73">
        <v>7.1630000000000003</v>
      </c>
      <c r="E438" t="s">
        <v>1175</v>
      </c>
      <c r="G438" t="str">
        <f t="shared" si="76"/>
        <v>[http://atom.kaeri.re.kr/cgi-bin/nuclide?nuc=Pt-198 &lt;sub&gt;198&lt;/sub&gt;Pt]</v>
      </c>
      <c r="H438" t="str">
        <f t="shared" si="77"/>
        <v>7,163 % || stabil</v>
      </c>
      <c r="I438" t="str">
        <f t="shared" si="78"/>
        <v xml:space="preserve"> | [http://atom.kaeri.re.kr/cgi-bin/nuclide?nuc=Pt-198 &lt;sub&gt;198&lt;/sub&gt;Pt] || 7,163 % || stabil || </v>
      </c>
      <c r="N438" t="str">
        <f t="shared" si="79"/>
        <v xml:space="preserve"> | [http://atom.kaeri.re.kr/cgi-bin/nuclide?nuc=Pt-198 &lt;sub&gt;198&lt;/sub&gt;Pt] || 7,163 % || stabil || &lt;br&gt; |-</v>
      </c>
    </row>
    <row r="439" spans="1:14" ht="15.9" customHeight="1">
      <c r="A439">
        <v>78</v>
      </c>
      <c r="B439" s="83" t="s">
        <v>371</v>
      </c>
      <c r="C439">
        <v>999</v>
      </c>
      <c r="D439" t="s">
        <v>372</v>
      </c>
      <c r="E439" t="s">
        <v>1175</v>
      </c>
      <c r="N439" t="str">
        <f>CONCATENATE(" |}&lt;br&gt;* [http://atom.kaeri.re.kr/cgi-bin/nuclide?nuc=",B439," alle bekannten ",D439,"-Isotope]")</f>
        <v xml:space="preserve"> |}&lt;br&gt;* [http://atom.kaeri.re.kr/cgi-bin/nuclide?nuc=Pt alle bekannten Platin-Isotope]</v>
      </c>
    </row>
    <row r="440" spans="1:14" ht="15.9" customHeight="1">
      <c r="A440">
        <v>79</v>
      </c>
      <c r="B440" s="83" t="s">
        <v>374</v>
      </c>
      <c r="C440" s="73">
        <v>0</v>
      </c>
      <c r="D440" t="s">
        <v>375</v>
      </c>
      <c r="E440" t="s">
        <v>1175</v>
      </c>
      <c r="N440" t="str">
        <f>CONCATENATE("=== [[",D440,"]] ===&lt;br&gt;{| {{tabelle}}&lt;br&gt;! Isotop !! ",$D$1," !! [[",$E$1,"]] !! ",$F$1," &lt;br&gt; |-")</f>
        <v>=== [[Gold]] ===&lt;br&gt;{| {{tabelle}}&lt;br&gt;! Isotop !! natürliche Häufigkeit !! [[Halbwertszeit]] !! Herkunft, techn. Bedeutung &lt;br&gt; |-</v>
      </c>
    </row>
    <row r="441" spans="1:14" ht="15.9" customHeight="1">
      <c r="A441" s="73">
        <v>79</v>
      </c>
      <c r="B441" s="81" t="s">
        <v>374</v>
      </c>
      <c r="C441" s="73">
        <v>197</v>
      </c>
      <c r="D441" s="73">
        <v>100</v>
      </c>
      <c r="E441" t="s">
        <v>1175</v>
      </c>
      <c r="G441" t="str">
        <f>CONCATENATE("[","http://atom.kaeri.re.kr/cgi-bin/nuclide?nuc=",B441,"-",C441," &lt;sub&gt;",C441,"&lt;/sub&gt;",B441,"]")</f>
        <v>[http://atom.kaeri.re.kr/cgi-bin/nuclide?nuc=Au-197 &lt;sub&gt;197&lt;/sub&gt;Au]</v>
      </c>
      <c r="H441" t="str">
        <f>CONCATENATE(D441," % || ",E441)</f>
        <v>100 % || stabil</v>
      </c>
      <c r="I441" t="str">
        <f>CONCATENATE(" | ",G441," || ",H441," || ",F441)</f>
        <v xml:space="preserve"> | [http://atom.kaeri.re.kr/cgi-bin/nuclide?nuc=Au-197 &lt;sub&gt;197&lt;/sub&gt;Au] || 100 % || stabil || </v>
      </c>
      <c r="N441" t="str">
        <f>CONCATENATE(I441,"&lt;br&gt;"," |-")</f>
        <v xml:space="preserve"> | [http://atom.kaeri.re.kr/cgi-bin/nuclide?nuc=Au-197 &lt;sub&gt;197&lt;/sub&gt;Au] || 100 % || stabil || &lt;br&gt; |-</v>
      </c>
    </row>
    <row r="442" spans="1:14" ht="15.9" customHeight="1">
      <c r="A442">
        <v>79</v>
      </c>
      <c r="B442" s="83" t="s">
        <v>374</v>
      </c>
      <c r="C442">
        <v>999</v>
      </c>
      <c r="D442" t="s">
        <v>375</v>
      </c>
      <c r="E442" t="s">
        <v>1175</v>
      </c>
      <c r="N442" t="str">
        <f>CONCATENATE(" |}&lt;br&gt;* [http://atom.kaeri.re.kr/cgi-bin/nuclide?nuc=",B442," alle bekannten ",D442,"-Isotope]")</f>
        <v xml:space="preserve"> |}&lt;br&gt;* [http://atom.kaeri.re.kr/cgi-bin/nuclide?nuc=Au alle bekannten Gold-Isotope]</v>
      </c>
    </row>
    <row r="443" spans="1:14" ht="15.9" customHeight="1">
      <c r="A443">
        <v>80</v>
      </c>
      <c r="B443" s="83" t="s">
        <v>377</v>
      </c>
      <c r="C443" s="73">
        <v>0</v>
      </c>
      <c r="D443" t="s">
        <v>378</v>
      </c>
      <c r="E443" t="s">
        <v>1175</v>
      </c>
      <c r="N443" t="str">
        <f>CONCATENATE("=== [[",D443,"]] ===&lt;br&gt;{| {{tabelle}}&lt;br&gt;! Isotop !! ",$D$1," !! [[",$E$1,"]] !! ",$F$1," &lt;br&gt; |-")</f>
        <v>=== [[Quecksilber]] ===&lt;br&gt;{| {{tabelle}}&lt;br&gt;! Isotop !! natürliche Häufigkeit !! [[Halbwertszeit]] !! Herkunft, techn. Bedeutung &lt;br&gt; |-</v>
      </c>
    </row>
    <row r="444" spans="1:14" ht="15.9" customHeight="1">
      <c r="A444" s="73">
        <v>80</v>
      </c>
      <c r="B444" s="81" t="s">
        <v>377</v>
      </c>
      <c r="C444" s="73">
        <v>196</v>
      </c>
      <c r="D444" s="73">
        <v>0.15</v>
      </c>
      <c r="E444" t="s">
        <v>1175</v>
      </c>
      <c r="G444" t="str">
        <f t="shared" ref="G444:G450" si="80">CONCATENATE("[","http://atom.kaeri.re.kr/cgi-bin/nuclide?nuc=",B444,"-",C444," &lt;sub&gt;",C444,"&lt;/sub&gt;",B444,"]")</f>
        <v>[http://atom.kaeri.re.kr/cgi-bin/nuclide?nuc=Hg-196 &lt;sub&gt;196&lt;/sub&gt;Hg]</v>
      </c>
      <c r="H444" t="str">
        <f t="shared" ref="H444:H450" si="81">CONCATENATE(D444," % || ",E444)</f>
        <v>0,15 % || stabil</v>
      </c>
      <c r="I444" t="str">
        <f t="shared" ref="I444:I450" si="82">CONCATENATE(" | ",G444," || ",H444," || ",F444)</f>
        <v xml:space="preserve"> | [http://atom.kaeri.re.kr/cgi-bin/nuclide?nuc=Hg-196 &lt;sub&gt;196&lt;/sub&gt;Hg] || 0,15 % || stabil || </v>
      </c>
      <c r="N444" t="str">
        <f t="shared" ref="N444:N450" si="83">CONCATENATE(I444,"&lt;br&gt;"," |-")</f>
        <v xml:space="preserve"> | [http://atom.kaeri.re.kr/cgi-bin/nuclide?nuc=Hg-196 &lt;sub&gt;196&lt;/sub&gt;Hg] || 0,15 % || stabil || &lt;br&gt; |-</v>
      </c>
    </row>
    <row r="445" spans="1:14" ht="15.9" customHeight="1">
      <c r="A445" s="73">
        <v>80</v>
      </c>
      <c r="B445" s="81" t="s">
        <v>377</v>
      </c>
      <c r="C445" s="73">
        <v>198</v>
      </c>
      <c r="D445" s="73">
        <v>9.9700000000000006</v>
      </c>
      <c r="E445" t="s">
        <v>1175</v>
      </c>
      <c r="G445" t="str">
        <f t="shared" si="80"/>
        <v>[http://atom.kaeri.re.kr/cgi-bin/nuclide?nuc=Hg-198 &lt;sub&gt;198&lt;/sub&gt;Hg]</v>
      </c>
      <c r="H445" t="str">
        <f t="shared" si="81"/>
        <v>9,97 % || stabil</v>
      </c>
      <c r="I445" t="str">
        <f t="shared" si="82"/>
        <v xml:space="preserve"> | [http://atom.kaeri.re.kr/cgi-bin/nuclide?nuc=Hg-198 &lt;sub&gt;198&lt;/sub&gt;Hg] || 9,97 % || stabil || </v>
      </c>
      <c r="N445" t="str">
        <f t="shared" si="83"/>
        <v xml:space="preserve"> | [http://atom.kaeri.re.kr/cgi-bin/nuclide?nuc=Hg-198 &lt;sub&gt;198&lt;/sub&gt;Hg] || 9,97 % || stabil || &lt;br&gt; |-</v>
      </c>
    </row>
    <row r="446" spans="1:14" ht="15.9" customHeight="1">
      <c r="A446" s="73">
        <v>80</v>
      </c>
      <c r="B446" s="81" t="s">
        <v>377</v>
      </c>
      <c r="C446" s="73">
        <v>199</v>
      </c>
      <c r="D446" s="73">
        <v>16.87</v>
      </c>
      <c r="E446" t="s">
        <v>1175</v>
      </c>
      <c r="G446" t="str">
        <f t="shared" si="80"/>
        <v>[http://atom.kaeri.re.kr/cgi-bin/nuclide?nuc=Hg-199 &lt;sub&gt;199&lt;/sub&gt;Hg]</v>
      </c>
      <c r="H446" t="str">
        <f t="shared" si="81"/>
        <v>16,87 % || stabil</v>
      </c>
      <c r="I446" t="str">
        <f t="shared" si="82"/>
        <v xml:space="preserve"> | [http://atom.kaeri.re.kr/cgi-bin/nuclide?nuc=Hg-199 &lt;sub&gt;199&lt;/sub&gt;Hg] || 16,87 % || stabil || </v>
      </c>
      <c r="N446" t="str">
        <f t="shared" si="83"/>
        <v xml:space="preserve"> | [http://atom.kaeri.re.kr/cgi-bin/nuclide?nuc=Hg-199 &lt;sub&gt;199&lt;/sub&gt;Hg] || 16,87 % || stabil || &lt;br&gt; |-</v>
      </c>
    </row>
    <row r="447" spans="1:14" ht="15.9" customHeight="1">
      <c r="A447" s="73">
        <v>80</v>
      </c>
      <c r="B447" s="81" t="s">
        <v>377</v>
      </c>
      <c r="C447" s="73">
        <v>200</v>
      </c>
      <c r="D447" s="73">
        <v>23.1</v>
      </c>
      <c r="E447" t="s">
        <v>1175</v>
      </c>
      <c r="G447" t="str">
        <f t="shared" si="80"/>
        <v>[http://atom.kaeri.re.kr/cgi-bin/nuclide?nuc=Hg-200 &lt;sub&gt;200&lt;/sub&gt;Hg]</v>
      </c>
      <c r="H447" t="str">
        <f t="shared" si="81"/>
        <v>23,1 % || stabil</v>
      </c>
      <c r="I447" t="str">
        <f t="shared" si="82"/>
        <v xml:space="preserve"> | [http://atom.kaeri.re.kr/cgi-bin/nuclide?nuc=Hg-200 &lt;sub&gt;200&lt;/sub&gt;Hg] || 23,1 % || stabil || </v>
      </c>
      <c r="N447" t="str">
        <f t="shared" si="83"/>
        <v xml:space="preserve"> | [http://atom.kaeri.re.kr/cgi-bin/nuclide?nuc=Hg-200 &lt;sub&gt;200&lt;/sub&gt;Hg] || 23,1 % || stabil || &lt;br&gt; |-</v>
      </c>
    </row>
    <row r="448" spans="1:14" ht="15.9" customHeight="1">
      <c r="A448" s="73">
        <v>80</v>
      </c>
      <c r="B448" s="81" t="s">
        <v>377</v>
      </c>
      <c r="C448" s="73">
        <v>201</v>
      </c>
      <c r="D448" s="73">
        <v>13.18</v>
      </c>
      <c r="E448" t="s">
        <v>1175</v>
      </c>
      <c r="G448" t="str">
        <f t="shared" si="80"/>
        <v>[http://atom.kaeri.re.kr/cgi-bin/nuclide?nuc=Hg-201 &lt;sub&gt;201&lt;/sub&gt;Hg]</v>
      </c>
      <c r="H448" t="str">
        <f t="shared" si="81"/>
        <v>13,18 % || stabil</v>
      </c>
      <c r="I448" t="str">
        <f t="shared" si="82"/>
        <v xml:space="preserve"> | [http://atom.kaeri.re.kr/cgi-bin/nuclide?nuc=Hg-201 &lt;sub&gt;201&lt;/sub&gt;Hg] || 13,18 % || stabil || </v>
      </c>
      <c r="N448" t="str">
        <f t="shared" si="83"/>
        <v xml:space="preserve"> | [http://atom.kaeri.re.kr/cgi-bin/nuclide?nuc=Hg-201 &lt;sub&gt;201&lt;/sub&gt;Hg] || 13,18 % || stabil || &lt;br&gt; |-</v>
      </c>
    </row>
    <row r="449" spans="1:14" ht="15.9" customHeight="1">
      <c r="A449" s="73">
        <v>80</v>
      </c>
      <c r="B449" s="81" t="s">
        <v>377</v>
      </c>
      <c r="C449" s="73">
        <v>202</v>
      </c>
      <c r="D449" s="73">
        <v>29.86</v>
      </c>
      <c r="E449" t="s">
        <v>1175</v>
      </c>
      <c r="G449" t="str">
        <f t="shared" si="80"/>
        <v>[http://atom.kaeri.re.kr/cgi-bin/nuclide?nuc=Hg-202 &lt;sub&gt;202&lt;/sub&gt;Hg]</v>
      </c>
      <c r="H449" t="str">
        <f t="shared" si="81"/>
        <v>29,86 % || stabil</v>
      </c>
      <c r="I449" t="str">
        <f t="shared" si="82"/>
        <v xml:space="preserve"> | [http://atom.kaeri.re.kr/cgi-bin/nuclide?nuc=Hg-202 &lt;sub&gt;202&lt;/sub&gt;Hg] || 29,86 % || stabil || </v>
      </c>
      <c r="N449" t="str">
        <f t="shared" si="83"/>
        <v xml:space="preserve"> | [http://atom.kaeri.re.kr/cgi-bin/nuclide?nuc=Hg-202 &lt;sub&gt;202&lt;/sub&gt;Hg] || 29,86 % || stabil || &lt;br&gt; |-</v>
      </c>
    </row>
    <row r="450" spans="1:14" ht="15.9" customHeight="1">
      <c r="A450" s="73">
        <v>80</v>
      </c>
      <c r="B450" s="81" t="s">
        <v>377</v>
      </c>
      <c r="C450" s="73">
        <v>204</v>
      </c>
      <c r="D450" s="73">
        <v>6.87</v>
      </c>
      <c r="E450" t="s">
        <v>1175</v>
      </c>
      <c r="G450" t="str">
        <f t="shared" si="80"/>
        <v>[http://atom.kaeri.re.kr/cgi-bin/nuclide?nuc=Hg-204 &lt;sub&gt;204&lt;/sub&gt;Hg]</v>
      </c>
      <c r="H450" t="str">
        <f t="shared" si="81"/>
        <v>6,87 % || stabil</v>
      </c>
      <c r="I450" t="str">
        <f t="shared" si="82"/>
        <v xml:space="preserve"> | [http://atom.kaeri.re.kr/cgi-bin/nuclide?nuc=Hg-204 &lt;sub&gt;204&lt;/sub&gt;Hg] || 6,87 % || stabil || </v>
      </c>
      <c r="N450" t="str">
        <f t="shared" si="83"/>
        <v xml:space="preserve"> | [http://atom.kaeri.re.kr/cgi-bin/nuclide?nuc=Hg-204 &lt;sub&gt;204&lt;/sub&gt;Hg] || 6,87 % || stabil || &lt;br&gt; |-</v>
      </c>
    </row>
    <row r="451" spans="1:14" ht="15.9" customHeight="1">
      <c r="A451">
        <v>80</v>
      </c>
      <c r="B451" s="83" t="s">
        <v>377</v>
      </c>
      <c r="C451">
        <v>999</v>
      </c>
      <c r="D451" t="s">
        <v>378</v>
      </c>
      <c r="E451" t="s">
        <v>1175</v>
      </c>
      <c r="N451" t="str">
        <f>CONCATENATE(" |}&lt;br&gt;* [http://atom.kaeri.re.kr/cgi-bin/nuclide?nuc=",B451," alle bekannten ",D451,"-Isotope]")</f>
        <v xml:space="preserve"> |}&lt;br&gt;* [http://atom.kaeri.re.kr/cgi-bin/nuclide?nuc=Hg alle bekannten Quecksilber-Isotope]</v>
      </c>
    </row>
    <row r="452" spans="1:14" ht="15.9" customHeight="1">
      <c r="A452">
        <v>81</v>
      </c>
      <c r="B452" s="83" t="s">
        <v>380</v>
      </c>
      <c r="C452" s="73">
        <v>0</v>
      </c>
      <c r="D452" t="s">
        <v>381</v>
      </c>
      <c r="E452" t="s">
        <v>1175</v>
      </c>
      <c r="N452" t="str">
        <f>CONCATENATE("=== [[",D452,"]] ===&lt;br&gt;{| {{tabelle}}&lt;br&gt;! Isotop !! ",$D$1," !! [[",$E$1,"]] !! ",$F$1," &lt;br&gt; |-")</f>
        <v>=== [[Thallium]] ===&lt;br&gt;{| {{tabelle}}&lt;br&gt;! Isotop !! natürliche Häufigkeit !! [[Halbwertszeit]] !! Herkunft, techn. Bedeutung &lt;br&gt; |-</v>
      </c>
    </row>
    <row r="453" spans="1:14" ht="15.9" customHeight="1">
      <c r="A453" s="73">
        <v>81</v>
      </c>
      <c r="B453" s="81" t="s">
        <v>380</v>
      </c>
      <c r="C453" s="73">
        <v>203</v>
      </c>
      <c r="D453" s="73">
        <v>29.524000000000001</v>
      </c>
      <c r="E453" t="s">
        <v>1175</v>
      </c>
      <c r="G453" t="str">
        <f>CONCATENATE("[","http://atom.kaeri.re.kr/cgi-bin/nuclide?nuc=",B453,"-",C453," &lt;sub&gt;",C453,"&lt;/sub&gt;",B453,"]")</f>
        <v>[http://atom.kaeri.re.kr/cgi-bin/nuclide?nuc=Tl-203 &lt;sub&gt;203&lt;/sub&gt;Tl]</v>
      </c>
      <c r="H453" t="str">
        <f>CONCATENATE(D453," % || ",E453)</f>
        <v>29,524 % || stabil</v>
      </c>
      <c r="I453" t="str">
        <f>CONCATENATE(" | ",G453," || ",H453," || ",F453)</f>
        <v xml:space="preserve"> | [http://atom.kaeri.re.kr/cgi-bin/nuclide?nuc=Tl-203 &lt;sub&gt;203&lt;/sub&gt;Tl] || 29,524 % || stabil || </v>
      </c>
      <c r="N453" t="str">
        <f>CONCATENATE(I453,"&lt;br&gt;"," |-")</f>
        <v xml:space="preserve"> | [http://atom.kaeri.re.kr/cgi-bin/nuclide?nuc=Tl-203 &lt;sub&gt;203&lt;/sub&gt;Tl] || 29,524 % || stabil || &lt;br&gt; |-</v>
      </c>
    </row>
    <row r="454" spans="1:14" ht="15.9" customHeight="1">
      <c r="A454" s="73">
        <v>81</v>
      </c>
      <c r="B454" s="81" t="s">
        <v>380</v>
      </c>
      <c r="C454" s="73">
        <v>205</v>
      </c>
      <c r="D454" s="73">
        <v>70.475999999999999</v>
      </c>
      <c r="E454" t="s">
        <v>1175</v>
      </c>
      <c r="G454" t="str">
        <f>CONCATENATE("[","http://atom.kaeri.re.kr/cgi-bin/nuclide?nuc=",B454,"-",C454," &lt;sub&gt;",C454,"&lt;/sub&gt;",B454,"]")</f>
        <v>[http://atom.kaeri.re.kr/cgi-bin/nuclide?nuc=Tl-205 &lt;sub&gt;205&lt;/sub&gt;Tl]</v>
      </c>
      <c r="H454" t="str">
        <f>CONCATENATE(D454," % || ",E454)</f>
        <v>70,476 % || stabil</v>
      </c>
      <c r="I454" t="str">
        <f>CONCATENATE(" | ",G454," || ",H454," || ",F454)</f>
        <v xml:space="preserve"> | [http://atom.kaeri.re.kr/cgi-bin/nuclide?nuc=Tl-205 &lt;sub&gt;205&lt;/sub&gt;Tl] || 70,476 % || stabil || </v>
      </c>
      <c r="N454" t="str">
        <f>CONCATENATE(I454,"&lt;br&gt;"," |-")</f>
        <v xml:space="preserve"> | [http://atom.kaeri.re.kr/cgi-bin/nuclide?nuc=Tl-205 &lt;sub&gt;205&lt;/sub&gt;Tl] || 70,476 % || stabil || &lt;br&gt; |-</v>
      </c>
    </row>
    <row r="455" spans="1:14" ht="15.9" customHeight="1">
      <c r="A455">
        <v>81</v>
      </c>
      <c r="B455" s="83" t="s">
        <v>380</v>
      </c>
      <c r="C455">
        <v>999</v>
      </c>
      <c r="D455" t="s">
        <v>381</v>
      </c>
      <c r="E455" t="s">
        <v>1175</v>
      </c>
      <c r="N455" t="str">
        <f>CONCATENATE(" |}&lt;br&gt;* [http://atom.kaeri.re.kr/cgi-bin/nuclide?nuc=",B455," alle bekannten ",D455,"-Isotope]")</f>
        <v xml:space="preserve"> |}&lt;br&gt;* [http://atom.kaeri.re.kr/cgi-bin/nuclide?nuc=Tl alle bekannten Thallium-Isotope]</v>
      </c>
    </row>
    <row r="456" spans="1:14" ht="15.9" customHeight="1">
      <c r="A456">
        <v>82</v>
      </c>
      <c r="B456" s="83" t="s">
        <v>384</v>
      </c>
      <c r="C456" s="73">
        <v>0</v>
      </c>
      <c r="D456" t="s">
        <v>385</v>
      </c>
      <c r="E456" t="s">
        <v>1175</v>
      </c>
      <c r="N456" t="str">
        <f>CONCATENATE("=== [[",D456,"]] ===&lt;br&gt;{| {{tabelle}}&lt;br&gt;! Isotop !! ",$D$1," !! [[",$E$1,"]] !! ",$F$1," &lt;br&gt; |-")</f>
        <v>=== [[Blei]] ===&lt;br&gt;{| {{tabelle}}&lt;br&gt;! Isotop !! natürliche Häufigkeit !! [[Halbwertszeit]] !! Herkunft, techn. Bedeutung &lt;br&gt; |-</v>
      </c>
    </row>
    <row r="457" spans="1:14" ht="15.9" customHeight="1">
      <c r="A457" s="73">
        <v>82</v>
      </c>
      <c r="B457" s="81" t="s">
        <v>384</v>
      </c>
      <c r="C457" s="73">
        <v>204</v>
      </c>
      <c r="D457" s="73">
        <v>1.4</v>
      </c>
      <c r="E457" t="s">
        <v>1175</v>
      </c>
      <c r="G457" t="str">
        <f t="shared" ref="G457:G463" si="84">CONCATENATE("[","http://atom.kaeri.re.kr/cgi-bin/nuclide?nuc=",B457,"-",C457," &lt;sub&gt;",C457,"&lt;/sub&gt;",B457,"]")</f>
        <v>[http://atom.kaeri.re.kr/cgi-bin/nuclide?nuc=Pb-204 &lt;sub&gt;204&lt;/sub&gt;Pb]</v>
      </c>
      <c r="H457" t="str">
        <f t="shared" ref="H457:H463" si="85">CONCATENATE(D457," % || ",E457)</f>
        <v>1,4 % || stabil</v>
      </c>
      <c r="I457" t="str">
        <f t="shared" ref="I457:I463" si="86">CONCATENATE(" | ",G457," || ",H457," || ",F457)</f>
        <v xml:space="preserve"> | [http://atom.kaeri.re.kr/cgi-bin/nuclide?nuc=Pb-204 &lt;sub&gt;204&lt;/sub&gt;Pb] || 1,4 % || stabil || </v>
      </c>
      <c r="N457" t="str">
        <f t="shared" ref="N457:N463" si="87">CONCATENATE(I457,"&lt;br&gt;"," |-")</f>
        <v xml:space="preserve"> | [http://atom.kaeri.re.kr/cgi-bin/nuclide?nuc=Pb-204 &lt;sub&gt;204&lt;/sub&gt;Pb] || 1,4 % || stabil || &lt;br&gt; |-</v>
      </c>
    </row>
    <row r="458" spans="1:14" ht="15.9" customHeight="1">
      <c r="A458" s="73">
        <v>82</v>
      </c>
      <c r="B458" s="81" t="s">
        <v>384</v>
      </c>
      <c r="C458" s="73">
        <v>206</v>
      </c>
      <c r="D458" s="73">
        <v>24.1</v>
      </c>
      <c r="E458" t="s">
        <v>1175</v>
      </c>
      <c r="G458" t="str">
        <f t="shared" si="84"/>
        <v>[http://atom.kaeri.re.kr/cgi-bin/nuclide?nuc=Pb-206 &lt;sub&gt;206&lt;/sub&gt;Pb]</v>
      </c>
      <c r="H458" t="str">
        <f t="shared" si="85"/>
        <v>24,1 % || stabil</v>
      </c>
      <c r="I458" t="str">
        <f t="shared" si="86"/>
        <v xml:space="preserve"> | [http://atom.kaeri.re.kr/cgi-bin/nuclide?nuc=Pb-206 &lt;sub&gt;206&lt;/sub&gt;Pb] || 24,1 % || stabil || </v>
      </c>
      <c r="N458" t="str">
        <f t="shared" si="87"/>
        <v xml:space="preserve"> | [http://atom.kaeri.re.kr/cgi-bin/nuclide?nuc=Pb-206 &lt;sub&gt;206&lt;/sub&gt;Pb] || 24,1 % || stabil || &lt;br&gt; |-</v>
      </c>
    </row>
    <row r="459" spans="1:14" ht="15.9" customHeight="1">
      <c r="A459" s="73">
        <v>82</v>
      </c>
      <c r="B459" s="81" t="s">
        <v>384</v>
      </c>
      <c r="C459" s="73">
        <v>207</v>
      </c>
      <c r="D459" s="73">
        <v>22.1</v>
      </c>
      <c r="E459" t="s">
        <v>1175</v>
      </c>
      <c r="G459" t="str">
        <f t="shared" si="84"/>
        <v>[http://atom.kaeri.re.kr/cgi-bin/nuclide?nuc=Pb-207 &lt;sub&gt;207&lt;/sub&gt;Pb]</v>
      </c>
      <c r="H459" t="str">
        <f t="shared" si="85"/>
        <v>22,1 % || stabil</v>
      </c>
      <c r="I459" t="str">
        <f t="shared" si="86"/>
        <v xml:space="preserve"> | [http://atom.kaeri.re.kr/cgi-bin/nuclide?nuc=Pb-207 &lt;sub&gt;207&lt;/sub&gt;Pb] || 22,1 % || stabil || </v>
      </c>
      <c r="N459" t="str">
        <f t="shared" si="87"/>
        <v xml:space="preserve"> | [http://atom.kaeri.re.kr/cgi-bin/nuclide?nuc=Pb-207 &lt;sub&gt;207&lt;/sub&gt;Pb] || 22,1 % || stabil || &lt;br&gt; |-</v>
      </c>
    </row>
    <row r="460" spans="1:14" ht="15.9" customHeight="1">
      <c r="A460" s="73">
        <v>82</v>
      </c>
      <c r="B460" s="81" t="s">
        <v>384</v>
      </c>
      <c r="C460" s="73">
        <v>208</v>
      </c>
      <c r="D460" s="73">
        <v>52.4</v>
      </c>
      <c r="E460" t="s">
        <v>1175</v>
      </c>
      <c r="G460" t="str">
        <f t="shared" si="84"/>
        <v>[http://atom.kaeri.re.kr/cgi-bin/nuclide?nuc=Pb-208 &lt;sub&gt;208&lt;/sub&gt;Pb]</v>
      </c>
      <c r="H460" t="str">
        <f t="shared" si="85"/>
        <v>52,4 % || stabil</v>
      </c>
      <c r="I460" t="str">
        <f t="shared" si="86"/>
        <v xml:space="preserve"> | [http://atom.kaeri.re.kr/cgi-bin/nuclide?nuc=Pb-208 &lt;sub&gt;208&lt;/sub&gt;Pb] || 52,4 % || stabil || </v>
      </c>
      <c r="N460" t="str">
        <f t="shared" si="87"/>
        <v xml:space="preserve"> | [http://atom.kaeri.re.kr/cgi-bin/nuclide?nuc=Pb-208 &lt;sub&gt;208&lt;/sub&gt;Pb] || 52,4 % || stabil || &lt;br&gt; |-</v>
      </c>
    </row>
    <row r="461" spans="1:14" s="78" customFormat="1" ht="15.9" customHeight="1">
      <c r="A461" s="73">
        <v>82</v>
      </c>
      <c r="B461" s="82" t="s">
        <v>384</v>
      </c>
      <c r="C461" s="79">
        <v>210</v>
      </c>
      <c r="D461" s="78" t="s">
        <v>1068</v>
      </c>
      <c r="E461" t="s">
        <v>1134</v>
      </c>
      <c r="F461" t="s">
        <v>1187</v>
      </c>
      <c r="G461" t="str">
        <f t="shared" si="84"/>
        <v>[http://atom.kaeri.re.kr/cgi-bin/nuclide?nuc=Pb-210 &lt;sub&gt;210&lt;/sub&gt;Pb]</v>
      </c>
      <c r="H461" t="str">
        <f t="shared" si="85"/>
        <v>- % || 22,3 Jahre</v>
      </c>
      <c r="I461" t="str">
        <f t="shared" si="86"/>
        <v xml:space="preserve"> | [http://atom.kaeri.re.kr/cgi-bin/nuclide?nuc=Pb-210 &lt;sub&gt;210&lt;/sub&gt;Pb] || - % || 22,3 Jahre || [[radioaktiv]], Uran-Reihe, Erdboden</v>
      </c>
      <c r="J461"/>
      <c r="K461"/>
      <c r="L461"/>
      <c r="M461"/>
      <c r="N461" t="str">
        <f t="shared" si="87"/>
        <v xml:space="preserve"> | [http://atom.kaeri.re.kr/cgi-bin/nuclide?nuc=Pb-210 &lt;sub&gt;210&lt;/sub&gt;Pb] || - % || 22,3 Jahre || [[radioaktiv]], Uran-Reihe, Erdboden&lt;br&gt; |-</v>
      </c>
    </row>
    <row r="462" spans="1:14" s="78" customFormat="1" ht="15.9" customHeight="1">
      <c r="A462" s="73">
        <v>82</v>
      </c>
      <c r="B462" s="82" t="s">
        <v>384</v>
      </c>
      <c r="C462" s="79">
        <v>212</v>
      </c>
      <c r="D462" s="78" t="s">
        <v>1068</v>
      </c>
      <c r="E462" t="s">
        <v>1135</v>
      </c>
      <c r="F462" t="s">
        <v>1186</v>
      </c>
      <c r="G462" t="str">
        <f t="shared" si="84"/>
        <v>[http://atom.kaeri.re.kr/cgi-bin/nuclide?nuc=Pb-212 &lt;sub&gt;212&lt;/sub&gt;Pb]</v>
      </c>
      <c r="H462" t="str">
        <f t="shared" si="85"/>
        <v>- % || 10,6 Stunden</v>
      </c>
      <c r="I462" t="str">
        <f t="shared" si="86"/>
        <v xml:space="preserve"> | [http://atom.kaeri.re.kr/cgi-bin/nuclide?nuc=Pb-212 &lt;sub&gt;212&lt;/sub&gt;Pb] || - % || 10,6 Stunden || [[radioaktiv]], Thorium-Reihe, Erdboden, Luft</v>
      </c>
      <c r="J462"/>
      <c r="K462"/>
      <c r="L462"/>
      <c r="M462"/>
      <c r="N462" t="str">
        <f t="shared" si="87"/>
        <v xml:space="preserve"> | [http://atom.kaeri.re.kr/cgi-bin/nuclide?nuc=Pb-212 &lt;sub&gt;212&lt;/sub&gt;Pb] || - % || 10,6 Stunden || [[radioaktiv]], Thorium-Reihe, Erdboden, Luft&lt;br&gt; |-</v>
      </c>
    </row>
    <row r="463" spans="1:14" s="78" customFormat="1" ht="15.9" customHeight="1">
      <c r="A463" s="73">
        <v>82</v>
      </c>
      <c r="B463" s="82" t="s">
        <v>384</v>
      </c>
      <c r="C463" s="79">
        <v>214</v>
      </c>
      <c r="D463" s="78" t="s">
        <v>1068</v>
      </c>
      <c r="E463" t="s">
        <v>1136</v>
      </c>
      <c r="F463" t="s">
        <v>1185</v>
      </c>
      <c r="G463" t="str">
        <f t="shared" si="84"/>
        <v>[http://atom.kaeri.re.kr/cgi-bin/nuclide?nuc=Pb-214 &lt;sub&gt;214&lt;/sub&gt;Pb]</v>
      </c>
      <c r="H463" t="str">
        <f t="shared" si="85"/>
        <v>- % || 26,8 Minuten</v>
      </c>
      <c r="I463" t="str">
        <f t="shared" si="86"/>
        <v xml:space="preserve"> | [http://atom.kaeri.re.kr/cgi-bin/nuclide?nuc=Pb-214 &lt;sub&gt;214&lt;/sub&gt;Pb] || - % || 26,8 Minuten || [[radioaktiv]], Uran-Reihe, Erdboden, Luft</v>
      </c>
      <c r="J463"/>
      <c r="K463"/>
      <c r="L463"/>
      <c r="M463"/>
      <c r="N463" t="str">
        <f t="shared" si="87"/>
        <v xml:space="preserve"> | [http://atom.kaeri.re.kr/cgi-bin/nuclide?nuc=Pb-214 &lt;sub&gt;214&lt;/sub&gt;Pb] || - % || 26,8 Minuten || [[radioaktiv]], Uran-Reihe, Erdboden, Luft&lt;br&gt; |-</v>
      </c>
    </row>
    <row r="464" spans="1:14" ht="15.9" customHeight="1">
      <c r="A464">
        <v>82</v>
      </c>
      <c r="B464" s="83" t="s">
        <v>384</v>
      </c>
      <c r="C464">
        <v>999</v>
      </c>
      <c r="D464" t="s">
        <v>385</v>
      </c>
      <c r="E464" t="s">
        <v>1175</v>
      </c>
      <c r="N464" t="str">
        <f>CONCATENATE(" |}&lt;br&gt;* [http://atom.kaeri.re.kr/cgi-bin/nuclide?nuc=",B464," alle bekannten ",D464,"-Isotope]")</f>
        <v xml:space="preserve"> |}&lt;br&gt;* [http://atom.kaeri.re.kr/cgi-bin/nuclide?nuc=Pb alle bekannten Blei-Isotope]</v>
      </c>
    </row>
    <row r="465" spans="1:14" ht="15.9" customHeight="1">
      <c r="A465">
        <v>83</v>
      </c>
      <c r="B465" s="83" t="s">
        <v>386</v>
      </c>
      <c r="C465" s="73">
        <v>0</v>
      </c>
      <c r="D465" t="s">
        <v>387</v>
      </c>
      <c r="E465" t="s">
        <v>1175</v>
      </c>
      <c r="N465" t="str">
        <f>CONCATENATE("=== [[",D465,"]] ===&lt;br&gt;{| {{tabelle}}&lt;br&gt;! Isotop !! ",$D$1," !! [[",$E$1,"]] !! ",$F$1," &lt;br&gt; |-")</f>
        <v>=== [[Bismut]] ===&lt;br&gt;{| {{tabelle}}&lt;br&gt;! Isotop !! natürliche Häufigkeit !! [[Halbwertszeit]] !! Herkunft, techn. Bedeutung &lt;br&gt; |-</v>
      </c>
    </row>
    <row r="466" spans="1:14" ht="15.9" customHeight="1">
      <c r="A466" s="73">
        <v>83</v>
      </c>
      <c r="B466" s="81" t="s">
        <v>386</v>
      </c>
      <c r="C466" s="73">
        <v>209</v>
      </c>
      <c r="D466" s="73">
        <v>100</v>
      </c>
      <c r="E466" t="s">
        <v>1175</v>
      </c>
      <c r="G466" t="str">
        <f>CONCATENATE("[","http://atom.kaeri.re.kr/cgi-bin/nuclide?nuc=",B466,"-",C466," &lt;sub&gt;",C466,"&lt;/sub&gt;",B466,"]")</f>
        <v>[http://atom.kaeri.re.kr/cgi-bin/nuclide?nuc=Bi-209 &lt;sub&gt;209&lt;/sub&gt;Bi]</v>
      </c>
      <c r="H466" t="str">
        <f>CONCATENATE(D466," % || ",E466)</f>
        <v>100 % || stabil</v>
      </c>
      <c r="I466" t="str">
        <f>CONCATENATE(" | ",G466," || ",H466," || ",F466)</f>
        <v xml:space="preserve"> | [http://atom.kaeri.re.kr/cgi-bin/nuclide?nuc=Bi-209 &lt;sub&gt;209&lt;/sub&gt;Bi] || 100 % || stabil || </v>
      </c>
      <c r="N466" t="str">
        <f>CONCATENATE(I466,"&lt;br&gt;"," |-")</f>
        <v xml:space="preserve"> | [http://atom.kaeri.re.kr/cgi-bin/nuclide?nuc=Bi-209 &lt;sub&gt;209&lt;/sub&gt;Bi] || 100 % || stabil || &lt;br&gt; |-</v>
      </c>
    </row>
    <row r="467" spans="1:14" s="78" customFormat="1" ht="15.9" customHeight="1">
      <c r="A467" s="73">
        <v>83</v>
      </c>
      <c r="B467" s="82" t="s">
        <v>386</v>
      </c>
      <c r="C467" s="79">
        <v>214</v>
      </c>
      <c r="D467" s="78" t="s">
        <v>1068</v>
      </c>
      <c r="E467" t="s">
        <v>1137</v>
      </c>
      <c r="F467" t="s">
        <v>1185</v>
      </c>
      <c r="G467" t="str">
        <f>CONCATENATE("[","http://atom.kaeri.re.kr/cgi-bin/nuclide?nuc=",B467,"-",C467," &lt;sub&gt;",C467,"&lt;/sub&gt;",B467,"]")</f>
        <v>[http://atom.kaeri.re.kr/cgi-bin/nuclide?nuc=Bi-214 &lt;sub&gt;214&lt;/sub&gt;Bi]</v>
      </c>
      <c r="H467" t="str">
        <f>CONCATENATE(D467," % || ",E467)</f>
        <v>- % || 19,8 Minuten</v>
      </c>
      <c r="I467" t="str">
        <f>CONCATENATE(" | ",G467," || ",H467," || ",F467)</f>
        <v xml:space="preserve"> | [http://atom.kaeri.re.kr/cgi-bin/nuclide?nuc=Bi-214 &lt;sub&gt;214&lt;/sub&gt;Bi] || - % || 19,8 Minuten || [[radioaktiv]], Uran-Reihe, Erdboden, Luft</v>
      </c>
      <c r="J467"/>
      <c r="K467"/>
      <c r="L467"/>
      <c r="M467"/>
      <c r="N467" t="str">
        <f>CONCATENATE(I467,"&lt;br&gt;"," |-")</f>
        <v xml:space="preserve"> | [http://atom.kaeri.re.kr/cgi-bin/nuclide?nuc=Bi-214 &lt;sub&gt;214&lt;/sub&gt;Bi] || - % || 19,8 Minuten || [[radioaktiv]], Uran-Reihe, Erdboden, Luft&lt;br&gt; |-</v>
      </c>
    </row>
    <row r="468" spans="1:14" ht="15.9" customHeight="1">
      <c r="A468">
        <v>83</v>
      </c>
      <c r="B468" s="83" t="s">
        <v>386</v>
      </c>
      <c r="C468">
        <v>999</v>
      </c>
      <c r="D468" t="s">
        <v>387</v>
      </c>
      <c r="E468" t="s">
        <v>1175</v>
      </c>
      <c r="N468" t="str">
        <f>CONCATENATE(" |}&lt;br&gt;* [http://atom.kaeri.re.kr/cgi-bin/nuclide?nuc=",B468," alle bekannten ",D468,"-Isotope]")</f>
        <v xml:space="preserve"> |}&lt;br&gt;* [http://atom.kaeri.re.kr/cgi-bin/nuclide?nuc=Bi alle bekannten Bismut-Isotope]</v>
      </c>
    </row>
    <row r="469" spans="1:14" ht="15.9" customHeight="1">
      <c r="A469">
        <v>84</v>
      </c>
      <c r="B469" s="83" t="s">
        <v>390</v>
      </c>
      <c r="C469" s="73">
        <v>0</v>
      </c>
      <c r="D469" t="s">
        <v>391</v>
      </c>
      <c r="E469" t="s">
        <v>1175</v>
      </c>
      <c r="N469" t="str">
        <f>CONCATENATE("=== [[",D469,"]] ===&lt;br&gt;{| {{tabelle}}&lt;br&gt;! Isotop !! ",$D$1," !! [[",$E$1,"]] !! ",$F$1," &lt;br&gt; |-")</f>
        <v>=== [[Polonium]] ===&lt;br&gt;{| {{tabelle}}&lt;br&gt;! Isotop !! natürliche Häufigkeit !! [[Halbwertszeit]] !! Herkunft, techn. Bedeutung &lt;br&gt; |-</v>
      </c>
    </row>
    <row r="470" spans="1:14" ht="15.9" customHeight="1">
      <c r="A470">
        <v>84</v>
      </c>
      <c r="B470" s="83" t="s">
        <v>390</v>
      </c>
      <c r="C470">
        <v>999</v>
      </c>
      <c r="D470" t="s">
        <v>391</v>
      </c>
      <c r="E470" t="s">
        <v>1175</v>
      </c>
      <c r="N470" t="str">
        <f>CONCATENATE(" |}&lt;br&gt;* [http://atom.kaeri.re.kr/cgi-bin/nuclide?nuc=",B470," alle bekannten ",D470,"-Isotope]")</f>
        <v xml:space="preserve"> |}&lt;br&gt;* [http://atom.kaeri.re.kr/cgi-bin/nuclide?nuc=Po alle bekannten Polonium-Isotope]</v>
      </c>
    </row>
    <row r="471" spans="1:14" ht="15.9" customHeight="1">
      <c r="A471">
        <v>85</v>
      </c>
      <c r="B471" s="83" t="s">
        <v>392</v>
      </c>
      <c r="C471" s="73">
        <v>0</v>
      </c>
      <c r="D471" t="s">
        <v>393</v>
      </c>
      <c r="E471" t="s">
        <v>1175</v>
      </c>
      <c r="N471" t="str">
        <f>CONCATENATE("=== [[",D471,"]] ===&lt;br&gt;{| {{tabelle}}&lt;br&gt;! Isotop !! ",$D$1," !! [[",$E$1,"]] !! ",$F$1," &lt;br&gt; |-")</f>
        <v>=== [[Astat]] ===&lt;br&gt;{| {{tabelle}}&lt;br&gt;! Isotop !! natürliche Häufigkeit !! [[Halbwertszeit]] !! Herkunft, techn. Bedeutung &lt;br&gt; |-</v>
      </c>
    </row>
    <row r="472" spans="1:14" ht="15.9" customHeight="1">
      <c r="A472">
        <v>85</v>
      </c>
      <c r="B472" s="83" t="s">
        <v>392</v>
      </c>
      <c r="C472">
        <v>999</v>
      </c>
      <c r="D472" t="s">
        <v>393</v>
      </c>
      <c r="E472" t="s">
        <v>1175</v>
      </c>
      <c r="N472" t="str">
        <f>CONCATENATE(" |}&lt;br&gt;* [http://atom.kaeri.re.kr/cgi-bin/nuclide?nuc=",B472," alle bekannten ",D472,"-Isotope]")</f>
        <v xml:space="preserve"> |}&lt;br&gt;* [http://atom.kaeri.re.kr/cgi-bin/nuclide?nuc=At alle bekannten Astat-Isotope]</v>
      </c>
    </row>
    <row r="473" spans="1:14" ht="15.9" customHeight="1">
      <c r="A473">
        <v>86</v>
      </c>
      <c r="B473" s="83" t="s">
        <v>394</v>
      </c>
      <c r="C473" s="73">
        <v>0</v>
      </c>
      <c r="D473" t="s">
        <v>395</v>
      </c>
      <c r="E473" t="s">
        <v>1175</v>
      </c>
      <c r="N473" t="str">
        <f>CONCATENATE("=== [[",D473,"]] ===&lt;br&gt;{| {{tabelle}}&lt;br&gt;! Isotop !! ",$D$1," !! [[",$E$1,"]] !! ",$F$1," &lt;br&gt; |-")</f>
        <v>=== [[Radon]] ===&lt;br&gt;{| {{tabelle}}&lt;br&gt;! Isotop !! natürliche Häufigkeit !! [[Halbwertszeit]] !! Herkunft, techn. Bedeutung &lt;br&gt; |-</v>
      </c>
    </row>
    <row r="474" spans="1:14" s="78" customFormat="1" ht="15.9" customHeight="1">
      <c r="A474">
        <v>86</v>
      </c>
      <c r="B474" s="82" t="s">
        <v>394</v>
      </c>
      <c r="C474" s="79">
        <v>220</v>
      </c>
      <c r="D474" s="78">
        <v>9</v>
      </c>
      <c r="E474" t="s">
        <v>1138</v>
      </c>
      <c r="F474" t="s">
        <v>1186</v>
      </c>
      <c r="G474" t="str">
        <f>CONCATENATE("[","http://atom.kaeri.re.kr/cgi-bin/nuclide?nuc=",B474,"-",C474," &lt;sub&gt;",C474,"&lt;/sub&gt;",B474,"]")</f>
        <v>[http://atom.kaeri.re.kr/cgi-bin/nuclide?nuc=Rn-220 &lt;sub&gt;220&lt;/sub&gt;Rn]</v>
      </c>
      <c r="H474" t="str">
        <f>CONCATENATE(D474," % || ",E474)</f>
        <v>9 % || 55 Sek</v>
      </c>
      <c r="I474" t="str">
        <f>CONCATENATE(" | ",G474," || ",H474," || ",F474)</f>
        <v xml:space="preserve"> | [http://atom.kaeri.re.kr/cgi-bin/nuclide?nuc=Rn-220 &lt;sub&gt;220&lt;/sub&gt;Rn] || 9 % || 55 Sek || [[radioaktiv]], Thorium-Reihe, Erdboden, Luft</v>
      </c>
      <c r="J474"/>
      <c r="K474"/>
      <c r="L474"/>
      <c r="M474"/>
      <c r="N474" t="str">
        <f>CONCATENATE(I474,"&lt;br&gt;"," |-")</f>
        <v xml:space="preserve"> | [http://atom.kaeri.re.kr/cgi-bin/nuclide?nuc=Rn-220 &lt;sub&gt;220&lt;/sub&gt;Rn] || 9 % || 55 Sek || [[radioaktiv]], Thorium-Reihe, Erdboden, Luft&lt;br&gt; |-</v>
      </c>
    </row>
    <row r="475" spans="1:14" s="78" customFormat="1" ht="15.9" customHeight="1">
      <c r="A475">
        <v>86</v>
      </c>
      <c r="B475" s="82" t="s">
        <v>394</v>
      </c>
      <c r="C475" s="79">
        <v>222</v>
      </c>
      <c r="D475" s="78">
        <v>90</v>
      </c>
      <c r="E475" t="s">
        <v>1139</v>
      </c>
      <c r="F475" t="s">
        <v>1185</v>
      </c>
      <c r="G475" t="str">
        <f>CONCATENATE("[","http://atom.kaeri.re.kr/cgi-bin/nuclide?nuc=",B475,"-",C475," &lt;sub&gt;",C475,"&lt;/sub&gt;",B475,"]")</f>
        <v>[http://atom.kaeri.re.kr/cgi-bin/nuclide?nuc=Rn-222 &lt;sub&gt;222&lt;/sub&gt;Rn]</v>
      </c>
      <c r="H475" t="str">
        <f>CONCATENATE(D475," % || ",E475)</f>
        <v>90 % || 3,82 Tage</v>
      </c>
      <c r="I475" t="str">
        <f>CONCATENATE(" | ",G475," || ",H475," || ",F475)</f>
        <v xml:space="preserve"> | [http://atom.kaeri.re.kr/cgi-bin/nuclide?nuc=Rn-222 &lt;sub&gt;222&lt;/sub&gt;Rn] || 90 % || 3,82 Tage || [[radioaktiv]], Uran-Reihe, Erdboden, Luft</v>
      </c>
      <c r="J475"/>
      <c r="K475"/>
      <c r="L475"/>
      <c r="M475"/>
      <c r="N475" t="str">
        <f>CONCATENATE(I475,"&lt;br&gt;"," |-")</f>
        <v xml:space="preserve"> | [http://atom.kaeri.re.kr/cgi-bin/nuclide?nuc=Rn-222 &lt;sub&gt;222&lt;/sub&gt;Rn] || 90 % || 3,82 Tage || [[radioaktiv]], Uran-Reihe, Erdboden, Luft&lt;br&gt; |-</v>
      </c>
    </row>
    <row r="476" spans="1:14" ht="15.9" customHeight="1">
      <c r="A476">
        <v>86</v>
      </c>
      <c r="B476" s="83" t="s">
        <v>394</v>
      </c>
      <c r="C476">
        <v>999</v>
      </c>
      <c r="D476" t="s">
        <v>395</v>
      </c>
      <c r="E476" t="s">
        <v>1175</v>
      </c>
      <c r="N476" t="str">
        <f>CONCATENATE(" |}&lt;br&gt;* [http://atom.kaeri.re.kr/cgi-bin/nuclide?nuc=",B476," alle bekannten ",D476,"-Isotope]")</f>
        <v xml:space="preserve"> |}&lt;br&gt;* [http://atom.kaeri.re.kr/cgi-bin/nuclide?nuc=Rn alle bekannten Radon-Isotope]</v>
      </c>
    </row>
    <row r="477" spans="1:14" ht="15.9" customHeight="1">
      <c r="A477">
        <v>87</v>
      </c>
      <c r="B477" s="83" t="s">
        <v>396</v>
      </c>
      <c r="C477" s="73">
        <v>0</v>
      </c>
      <c r="D477" t="s">
        <v>397</v>
      </c>
      <c r="E477" t="s">
        <v>1175</v>
      </c>
      <c r="N477" t="str">
        <f>CONCATENATE("=== [[",D477,"]] ===&lt;br&gt;{| {{tabelle}}&lt;br&gt;! Isotop !! ",$D$1," !! [[",$E$1,"]] !! ",$F$1," &lt;br&gt; |-")</f>
        <v>=== [[Francium]] ===&lt;br&gt;{| {{tabelle}}&lt;br&gt;! Isotop !! natürliche Häufigkeit !! [[Halbwertszeit]] !! Herkunft, techn. Bedeutung &lt;br&gt; |-</v>
      </c>
    </row>
    <row r="478" spans="1:14" ht="15.9" customHeight="1">
      <c r="A478">
        <v>87</v>
      </c>
      <c r="B478" s="83" t="s">
        <v>396</v>
      </c>
      <c r="C478">
        <v>999</v>
      </c>
      <c r="D478" t="s">
        <v>397</v>
      </c>
      <c r="E478" t="s">
        <v>1175</v>
      </c>
      <c r="N478" t="str">
        <f>CONCATENATE(" |}&lt;br&gt;* [http://atom.kaeri.re.kr/cgi-bin/nuclide?nuc=",B478," alle bekannten ",D478,"-Isotope]")</f>
        <v xml:space="preserve"> |}&lt;br&gt;* [http://atom.kaeri.re.kr/cgi-bin/nuclide?nuc=Fr alle bekannten Francium-Isotope]</v>
      </c>
    </row>
    <row r="479" spans="1:14" ht="15.9" customHeight="1">
      <c r="A479">
        <v>88</v>
      </c>
      <c r="B479" s="83" t="s">
        <v>399</v>
      </c>
      <c r="C479" s="73">
        <v>0</v>
      </c>
      <c r="D479" t="s">
        <v>400</v>
      </c>
      <c r="E479" t="s">
        <v>1175</v>
      </c>
      <c r="N479" t="str">
        <f>CONCATENATE("=== [[",D479,"]] ===&lt;br&gt;{| {{tabelle}}&lt;br&gt;! Isotop !! ",$D$1," !! [[",$E$1,"]] !! ",$F$1," &lt;br&gt; |-")</f>
        <v>=== [[Radium]] ===&lt;br&gt;{| {{tabelle}}&lt;br&gt;! Isotop !! natürliche Häufigkeit !! [[Halbwertszeit]] !! Herkunft, techn. Bedeutung &lt;br&gt; |-</v>
      </c>
    </row>
    <row r="480" spans="1:14" s="78" customFormat="1" ht="15.9" customHeight="1">
      <c r="A480">
        <v>88</v>
      </c>
      <c r="B480" s="82" t="s">
        <v>399</v>
      </c>
      <c r="C480" s="79">
        <v>226</v>
      </c>
      <c r="D480" s="78" t="s">
        <v>1068</v>
      </c>
      <c r="E480" t="s">
        <v>1140</v>
      </c>
      <c r="F480" t="s">
        <v>1187</v>
      </c>
      <c r="G480" t="str">
        <f>CONCATENATE("[","http://atom.kaeri.re.kr/cgi-bin/nuclide?nuc=",B480,"-",C480," &lt;sub&gt;",C480,"&lt;/sub&gt;",B480,"]")</f>
        <v>[http://atom.kaeri.re.kr/cgi-bin/nuclide?nuc=Ra-226 &lt;sub&gt;226&lt;/sub&gt;Ra]</v>
      </c>
      <c r="H480" t="str">
        <f>CONCATENATE(D480," % || ",E480)</f>
        <v>- % || 1600 Jahre</v>
      </c>
      <c r="I480" t="str">
        <f>CONCATENATE(" | ",G480," || ",H480," || ",F480)</f>
        <v xml:space="preserve"> | [http://atom.kaeri.re.kr/cgi-bin/nuclide?nuc=Ra-226 &lt;sub&gt;226&lt;/sub&gt;Ra] || - % || 1600 Jahre || [[radioaktiv]], Uran-Reihe, Erdboden</v>
      </c>
      <c r="J480"/>
      <c r="K480"/>
      <c r="L480"/>
      <c r="M480"/>
      <c r="N480" t="str">
        <f>CONCATENATE(I480,"&lt;br&gt;"," |-")</f>
        <v xml:space="preserve"> | [http://atom.kaeri.re.kr/cgi-bin/nuclide?nuc=Ra-226 &lt;sub&gt;226&lt;/sub&gt;Ra] || - % || 1600 Jahre || [[radioaktiv]], Uran-Reihe, Erdboden&lt;br&gt; |-</v>
      </c>
    </row>
    <row r="481" spans="1:14" ht="15.9" customHeight="1">
      <c r="A481">
        <v>88</v>
      </c>
      <c r="B481" s="83" t="s">
        <v>399</v>
      </c>
      <c r="C481">
        <v>999</v>
      </c>
      <c r="D481" t="s">
        <v>400</v>
      </c>
      <c r="E481" t="s">
        <v>1175</v>
      </c>
      <c r="N481" t="str">
        <f>CONCATENATE(" |}&lt;br&gt;* [http://atom.kaeri.re.kr/cgi-bin/nuclide?nuc=",B481," alle bekannten ",D481,"-Isotope]")</f>
        <v xml:space="preserve"> |}&lt;br&gt;* [http://atom.kaeri.re.kr/cgi-bin/nuclide?nuc=Ra alle bekannten Radium-Isotope]</v>
      </c>
    </row>
    <row r="482" spans="1:14" ht="15.9" customHeight="1">
      <c r="A482">
        <v>89</v>
      </c>
      <c r="B482" s="83" t="s">
        <v>401</v>
      </c>
      <c r="C482" s="73">
        <v>0</v>
      </c>
      <c r="D482" t="s">
        <v>402</v>
      </c>
      <c r="E482" t="s">
        <v>1175</v>
      </c>
      <c r="N482" t="str">
        <f>CONCATENATE("=== [[",D482,"]] ===&lt;br&gt;{| {{tabelle}}&lt;br&gt;! Isotop !! ",$D$1," !! [[",$E$1,"]] !! ",$F$1," &lt;br&gt; |-")</f>
        <v>=== [[Actinium]] ===&lt;br&gt;{| {{tabelle}}&lt;br&gt;! Isotop !! natürliche Häufigkeit !! [[Halbwertszeit]] !! Herkunft, techn. Bedeutung &lt;br&gt; |-</v>
      </c>
    </row>
    <row r="483" spans="1:14" ht="15.9" customHeight="1">
      <c r="A483">
        <v>89</v>
      </c>
      <c r="B483" s="83" t="s">
        <v>401</v>
      </c>
      <c r="C483">
        <v>999</v>
      </c>
      <c r="D483" t="s">
        <v>402</v>
      </c>
      <c r="E483" t="s">
        <v>1175</v>
      </c>
      <c r="N483" t="str">
        <f>CONCATENATE(" |}&lt;br&gt;* [http://atom.kaeri.re.kr/cgi-bin/nuclide?nuc=",B483," alle bekannten ",D483,"-Isotope]")</f>
        <v xml:space="preserve"> |}&lt;br&gt;* [http://atom.kaeri.re.kr/cgi-bin/nuclide?nuc=Ac alle bekannten Actinium-Isotope]</v>
      </c>
    </row>
    <row r="484" spans="1:14" ht="15.9" customHeight="1">
      <c r="A484">
        <v>90</v>
      </c>
      <c r="B484" s="83" t="s">
        <v>403</v>
      </c>
      <c r="C484">
        <v>0</v>
      </c>
      <c r="D484" t="s">
        <v>404</v>
      </c>
      <c r="E484" t="s">
        <v>1175</v>
      </c>
      <c r="N484" t="str">
        <f>CONCATENATE("=== [[",D484,"]] ===&lt;br&gt;{| {{tabelle}}&lt;br&gt;! Isotop !! ",$D$1," !! [[",$E$1,"]] !! ",$F$1," &lt;br&gt; |-")</f>
        <v>=== [[Thorium]] ===&lt;br&gt;{| {{tabelle}}&lt;br&gt;! Isotop !! natürliche Häufigkeit !! [[Halbwertszeit]] !! Herkunft, techn. Bedeutung &lt;br&gt; |-</v>
      </c>
    </row>
    <row r="485" spans="1:14" ht="15.9" customHeight="1">
      <c r="A485" s="73">
        <v>90</v>
      </c>
      <c r="B485" s="81" t="s">
        <v>403</v>
      </c>
      <c r="C485">
        <v>232</v>
      </c>
      <c r="D485" s="78" t="s">
        <v>1180</v>
      </c>
      <c r="E485" t="s">
        <v>1141</v>
      </c>
      <c r="F485" t="s">
        <v>1179</v>
      </c>
      <c r="G485" t="str">
        <f>CONCATENATE("[","http://atom.kaeri.re.kr/cgi-bin/nuclide?nuc=",B485,"-",C485," &lt;sub&gt;",C485,"&lt;/sub&gt;",B485,"]")</f>
        <v>[http://atom.kaeri.re.kr/cgi-bin/nuclide?nuc=Th-232 &lt;sub&gt;232&lt;/sub&gt;Th]</v>
      </c>
      <c r="H485" t="str">
        <f>CONCATENATE(D485," % || ",E485)</f>
        <v>ca. 100 % || 14 Milliarden Jahre</v>
      </c>
      <c r="I485" t="str">
        <f>CONCATENATE(" | ",G485," || ",H485," || ",F485)</f>
        <v xml:space="preserve"> | [http://atom.kaeri.re.kr/cgi-bin/nuclide?nuc=Th-232 &lt;sub&gt;232&lt;/sub&gt;Th] || ca. 100 % || 14 Milliarden Jahre || [[radioaktiv]], Erdkruste</v>
      </c>
      <c r="N485" t="str">
        <f>CONCATENATE(I485,"&lt;br&gt;"," |-")</f>
        <v xml:space="preserve"> | [http://atom.kaeri.re.kr/cgi-bin/nuclide?nuc=Th-232 &lt;sub&gt;232&lt;/sub&gt;Th] || ca. 100 % || 14 Milliarden Jahre || [[radioaktiv]], Erdkruste&lt;br&gt; |-</v>
      </c>
    </row>
    <row r="486" spans="1:14" ht="15.9" customHeight="1">
      <c r="A486" s="73">
        <v>90</v>
      </c>
      <c r="B486" s="83" t="s">
        <v>403</v>
      </c>
      <c r="C486">
        <v>999</v>
      </c>
      <c r="D486" t="s">
        <v>404</v>
      </c>
      <c r="E486" t="s">
        <v>1175</v>
      </c>
      <c r="N486" t="str">
        <f>CONCATENATE(" |}&lt;br&gt;* [http://atom.kaeri.re.kr/cgi-bin/nuclide?nuc=",B486," alle bekannten ",D486,"-Isotope]")</f>
        <v xml:space="preserve"> |}&lt;br&gt;* [http://atom.kaeri.re.kr/cgi-bin/nuclide?nuc=Th alle bekannten Thorium-Isotope]</v>
      </c>
    </row>
    <row r="487" spans="1:14" ht="15.9" customHeight="1">
      <c r="A487">
        <v>91</v>
      </c>
      <c r="B487" s="83" t="s">
        <v>406</v>
      </c>
      <c r="C487" s="73">
        <v>0</v>
      </c>
      <c r="D487" t="s">
        <v>407</v>
      </c>
      <c r="E487" t="s">
        <v>1175</v>
      </c>
      <c r="N487" t="str">
        <f>CONCATENATE("=== [[",D487,"]] ===&lt;br&gt;{| {{tabelle}}&lt;br&gt;! Isotop !! ",$D$1," !! [[",$E$1,"]] !! ",$F$1," &lt;br&gt; |-")</f>
        <v>=== [[Protactinium]] ===&lt;br&gt;{| {{tabelle}}&lt;br&gt;! Isotop !! natürliche Häufigkeit !! [[Halbwertszeit]] !! Herkunft, techn. Bedeutung &lt;br&gt; |-</v>
      </c>
    </row>
    <row r="488" spans="1:14" ht="15.9" customHeight="1">
      <c r="A488" s="73">
        <v>91</v>
      </c>
      <c r="B488" s="81" t="s">
        <v>406</v>
      </c>
      <c r="C488" s="73">
        <v>231</v>
      </c>
      <c r="D488" s="73">
        <v>100</v>
      </c>
      <c r="E488" t="s">
        <v>1175</v>
      </c>
      <c r="G488" t="str">
        <f>CONCATENATE("[","http://atom.kaeri.re.kr/cgi-bin/nuclide?nuc=",B488,"-",C488," &lt;sub&gt;",C488,"&lt;/sub&gt;",B488,"]")</f>
        <v>[http://atom.kaeri.re.kr/cgi-bin/nuclide?nuc=Pa-231 &lt;sub&gt;231&lt;/sub&gt;Pa]</v>
      </c>
      <c r="H488" t="str">
        <f>CONCATENATE(D488," % || ",E488)</f>
        <v>100 % || stabil</v>
      </c>
      <c r="I488" t="str">
        <f>CONCATENATE(" | ",G488," || ",H488," || ",F488)</f>
        <v xml:space="preserve"> | [http://atom.kaeri.re.kr/cgi-bin/nuclide?nuc=Pa-231 &lt;sub&gt;231&lt;/sub&gt;Pa] || 100 % || stabil || </v>
      </c>
      <c r="N488" t="str">
        <f>CONCATENATE(I488,"&lt;br&gt;"," |-")</f>
        <v xml:space="preserve"> | [http://atom.kaeri.re.kr/cgi-bin/nuclide?nuc=Pa-231 &lt;sub&gt;231&lt;/sub&gt;Pa] || 100 % || stabil || &lt;br&gt; |-</v>
      </c>
    </row>
    <row r="489" spans="1:14" ht="15.9" customHeight="1">
      <c r="A489">
        <v>91</v>
      </c>
      <c r="B489" s="83" t="s">
        <v>406</v>
      </c>
      <c r="C489">
        <v>999</v>
      </c>
      <c r="D489" t="s">
        <v>407</v>
      </c>
      <c r="E489" t="s">
        <v>1175</v>
      </c>
      <c r="N489" t="str">
        <f>CONCATENATE(" |}&lt;br&gt;* [http://atom.kaeri.re.kr/cgi-bin/nuclide?nuc=",B489," alle bekannten ",D489,"-Isotope]")</f>
        <v xml:space="preserve"> |}&lt;br&gt;* [http://atom.kaeri.re.kr/cgi-bin/nuclide?nuc=Pa alle bekannten Protactinium-Isotope]</v>
      </c>
    </row>
    <row r="490" spans="1:14" ht="15.9" customHeight="1">
      <c r="A490">
        <v>92</v>
      </c>
      <c r="B490" s="83" t="s">
        <v>408</v>
      </c>
      <c r="C490" s="73">
        <v>0</v>
      </c>
      <c r="D490" t="s">
        <v>409</v>
      </c>
      <c r="E490" t="s">
        <v>1175</v>
      </c>
      <c r="N490" t="str">
        <f>CONCATENATE("=== [[",D490,"]] ===&lt;br&gt;{| {{tabelle}}&lt;br&gt;! Isotop !! ",$D$1," !! [[",$E$1,"]] !! ",$F$1," &lt;br&gt; |-")</f>
        <v>=== [[Uran]] ===&lt;br&gt;{| {{tabelle}}&lt;br&gt;! Isotop !! natürliche Häufigkeit !! [[Halbwertszeit]] !! Herkunft, techn. Bedeutung &lt;br&gt; |-</v>
      </c>
    </row>
    <row r="491" spans="1:14" ht="15.9" customHeight="1">
      <c r="A491" s="73">
        <v>92</v>
      </c>
      <c r="B491" s="81" t="s">
        <v>408</v>
      </c>
      <c r="C491" s="73">
        <v>234</v>
      </c>
      <c r="D491" s="73">
        <v>5.4999999999999997E-3</v>
      </c>
      <c r="E491" t="s">
        <v>1175</v>
      </c>
      <c r="G491" t="str">
        <f>CONCATENATE("[","http://atom.kaeri.re.kr/cgi-bin/nuclide?nuc=",B491,"-",C491," &lt;sub&gt;",C491,"&lt;/sub&gt;",B491,"]")</f>
        <v>[http://atom.kaeri.re.kr/cgi-bin/nuclide?nuc=U-234 &lt;sub&gt;234&lt;/sub&gt;U]</v>
      </c>
      <c r="H491" t="str">
        <f>CONCATENATE(D491," % || ",E491)</f>
        <v>0,0055 % || stabil</v>
      </c>
      <c r="I491" t="str">
        <f>CONCATENATE(" | ",G491," || ",H491," || ",F491)</f>
        <v xml:space="preserve"> | [http://atom.kaeri.re.kr/cgi-bin/nuclide?nuc=U-234 &lt;sub&gt;234&lt;/sub&gt;U] || 0,0055 % || stabil || </v>
      </c>
      <c r="N491" t="str">
        <f>CONCATENATE(I491,"&lt;br&gt;"," |-")</f>
        <v xml:space="preserve"> | [http://atom.kaeri.re.kr/cgi-bin/nuclide?nuc=U-234 &lt;sub&gt;234&lt;/sub&gt;U] || 0,0055 % || stabil || &lt;br&gt; |-</v>
      </c>
    </row>
    <row r="492" spans="1:14" ht="15.9" customHeight="1">
      <c r="A492" s="73">
        <v>92</v>
      </c>
      <c r="B492" s="81" t="s">
        <v>408</v>
      </c>
      <c r="C492" s="73">
        <v>235</v>
      </c>
      <c r="D492" s="73">
        <v>0.72</v>
      </c>
      <c r="E492" t="s">
        <v>1142</v>
      </c>
      <c r="F492" t="s">
        <v>1178</v>
      </c>
      <c r="G492" t="str">
        <f>CONCATENATE("[","http://atom.kaeri.re.kr/cgi-bin/nuclide?nuc=",B492,"-",C492," &lt;sub&gt;",C492,"&lt;/sub&gt;",B492,"]")</f>
        <v>[http://atom.kaeri.re.kr/cgi-bin/nuclide?nuc=U-235 &lt;sub&gt;235&lt;/sub&gt;U]</v>
      </c>
      <c r="H492" t="str">
        <f>CONCATENATE(D492," % || ",E492)</f>
        <v>0,72 % || 0,7 Milliarden Jahre</v>
      </c>
      <c r="I492" t="str">
        <f>CONCATENATE(" | ",G492," || ",H492," || ",F492)</f>
        <v xml:space="preserve"> | [http://atom.kaeri.re.kr/cgi-bin/nuclide?nuc=U-235 &lt;sub&gt;235&lt;/sub&gt;U] || 0,72 % || 0,7 Milliarden Jahre || [[radioaktiv]], Erdkruste, Kernenergie, Atomwaffen</v>
      </c>
      <c r="N492" t="str">
        <f>CONCATENATE(I492,"&lt;br&gt;"," |-")</f>
        <v xml:space="preserve"> | [http://atom.kaeri.re.kr/cgi-bin/nuclide?nuc=U-235 &lt;sub&gt;235&lt;/sub&gt;U] || 0,72 % || 0,7 Milliarden Jahre || [[radioaktiv]], Erdkruste, Kernenergie, Atomwaffen&lt;br&gt; |-</v>
      </c>
    </row>
    <row r="493" spans="1:14" ht="15.9" customHeight="1">
      <c r="A493" s="73">
        <v>92</v>
      </c>
      <c r="B493" s="81" t="s">
        <v>408</v>
      </c>
      <c r="C493" s="73">
        <v>238</v>
      </c>
      <c r="D493" s="73">
        <v>99.274500000000003</v>
      </c>
      <c r="E493" t="s">
        <v>1143</v>
      </c>
      <c r="F493" t="s">
        <v>1178</v>
      </c>
      <c r="G493" t="str">
        <f>CONCATENATE("[","http://atom.kaeri.re.kr/cgi-bin/nuclide?nuc=",B493,"-",C493," &lt;sub&gt;",C493,"&lt;/sub&gt;",B493,"]")</f>
        <v>[http://atom.kaeri.re.kr/cgi-bin/nuclide?nuc=U-238 &lt;sub&gt;238&lt;/sub&gt;U]</v>
      </c>
      <c r="H493" t="str">
        <f>CONCATENATE(D493," % || ",E493)</f>
        <v>99,2745 % || 4,5 Milliarden Jahre</v>
      </c>
      <c r="I493" t="str">
        <f>CONCATENATE(" | ",G493," || ",H493," || ",F493)</f>
        <v xml:space="preserve"> | [http://atom.kaeri.re.kr/cgi-bin/nuclide?nuc=U-238 &lt;sub&gt;238&lt;/sub&gt;U] || 99,2745 % || 4,5 Milliarden Jahre || [[radioaktiv]], Erdkruste, Kernenergie, Atomwaffen</v>
      </c>
      <c r="N493" t="str">
        <f>CONCATENATE(I493,"&lt;br&gt;"," |-")</f>
        <v xml:space="preserve"> | [http://atom.kaeri.re.kr/cgi-bin/nuclide?nuc=U-238 &lt;sub&gt;238&lt;/sub&gt;U] || 99,2745 % || 4,5 Milliarden Jahre || [[radioaktiv]], Erdkruste, Kernenergie, Atomwaffen&lt;br&gt; |-</v>
      </c>
    </row>
    <row r="494" spans="1:14" ht="15.9" customHeight="1">
      <c r="A494">
        <v>92</v>
      </c>
      <c r="B494" s="83" t="s">
        <v>408</v>
      </c>
      <c r="C494">
        <v>999</v>
      </c>
      <c r="D494" t="s">
        <v>409</v>
      </c>
      <c r="E494" t="s">
        <v>1175</v>
      </c>
      <c r="N494" t="str">
        <f>CONCATENATE(" |}&lt;br&gt;* [http://atom.kaeri.re.kr/cgi-bin/nuclide?nuc=",B494," alle bekannten ",D494,"-Isotope]")</f>
        <v xml:space="preserve"> |}&lt;br&gt;* [http://atom.kaeri.re.kr/cgi-bin/nuclide?nuc=U alle bekannten Uran-Isotope]</v>
      </c>
    </row>
    <row r="495" spans="1:14" ht="15.9" customHeight="1">
      <c r="A495">
        <v>93</v>
      </c>
      <c r="B495" s="83" t="s">
        <v>411</v>
      </c>
      <c r="C495" s="73">
        <v>0</v>
      </c>
      <c r="D495" t="s">
        <v>412</v>
      </c>
      <c r="E495" t="s">
        <v>1175</v>
      </c>
      <c r="N495" t="str">
        <f>CONCATENATE("=== [[",D495,"]] ===&lt;br&gt;{| {{tabelle}}&lt;br&gt;! Isotop !! ",$D$1," !! [[",$E$1,"]] !! ",$F$1," &lt;br&gt; |-")</f>
        <v>=== [[Neptunium]] ===&lt;br&gt;{| {{tabelle}}&lt;br&gt;! Isotop !! natürliche Häufigkeit !! [[Halbwertszeit]] !! Herkunft, techn. Bedeutung &lt;br&gt; |-</v>
      </c>
    </row>
    <row r="496" spans="1:14" ht="15.9" customHeight="1">
      <c r="A496">
        <v>93</v>
      </c>
      <c r="B496" s="83" t="s">
        <v>411</v>
      </c>
      <c r="C496">
        <v>999</v>
      </c>
      <c r="D496" t="s">
        <v>412</v>
      </c>
      <c r="E496" t="s">
        <v>1175</v>
      </c>
      <c r="N496" t="str">
        <f>CONCATENATE(" |}&lt;br&gt;* [http://atom.kaeri.re.kr/cgi-bin/nuclide?nuc=",B496," alle bekannten ",D496,"-Isotope]")</f>
        <v xml:space="preserve"> |}&lt;br&gt;* [http://atom.kaeri.re.kr/cgi-bin/nuclide?nuc=Np alle bekannten Neptunium-Isotope]</v>
      </c>
    </row>
    <row r="497" spans="1:14" ht="15.9" customHeight="1">
      <c r="A497">
        <v>94</v>
      </c>
      <c r="B497" s="83" t="s">
        <v>413</v>
      </c>
      <c r="C497" s="73">
        <v>0</v>
      </c>
      <c r="D497" t="s">
        <v>414</v>
      </c>
      <c r="E497" t="s">
        <v>1175</v>
      </c>
      <c r="N497" t="str">
        <f>CONCATENATE("=== [[",D497,"]] ===&lt;br&gt;{| {{tabelle}}&lt;br&gt;! Isotop !! ",$D$1," !! [[",$E$1,"]] !! ",$F$1," &lt;br&gt; |-")</f>
        <v>=== [[Plutonium]] ===&lt;br&gt;{| {{tabelle}}&lt;br&gt;! Isotop !! natürliche Häufigkeit !! [[Halbwertszeit]] !! Herkunft, techn. Bedeutung &lt;br&gt; |-</v>
      </c>
    </row>
    <row r="498" spans="1:14" s="78" customFormat="1" ht="15.9" customHeight="1">
      <c r="A498">
        <v>94</v>
      </c>
      <c r="B498" s="82" t="s">
        <v>413</v>
      </c>
      <c r="C498" s="79">
        <v>238</v>
      </c>
      <c r="D498" s="78" t="s">
        <v>1068</v>
      </c>
      <c r="E498" t="s">
        <v>1172</v>
      </c>
      <c r="F498" t="s">
        <v>1191</v>
      </c>
      <c r="G498" t="str">
        <f>CONCATENATE("[","http://atom.kaeri.re.kr/cgi-bin/nuclide?nuc=",B498,"-",C498," &lt;sub&gt;",C498,"&lt;/sub&gt;",B498,"]")</f>
        <v>[http://atom.kaeri.re.kr/cgi-bin/nuclide?nuc=Pu-238 &lt;sub&gt;238&lt;/sub&gt;Pu]</v>
      </c>
      <c r="H498" t="str">
        <f>CONCATENATE(D498," % || ",E498)</f>
        <v>- % || 87,7 Jahre</v>
      </c>
      <c r="I498" t="str">
        <f>CONCATENATE(" | ",G498," || ",H498," || ",F498)</f>
        <v xml:space="preserve"> | [http://atom.kaeri.re.kr/cgi-bin/nuclide?nuc=Pu-238 &lt;sub&gt;238&lt;/sub&gt;Pu] || - % || 87,7 Jahre || [[radioaktiv]], Kerntechnik, Isotopenbatterien</v>
      </c>
      <c r="J498"/>
      <c r="K498"/>
      <c r="L498"/>
      <c r="M498"/>
      <c r="N498" t="str">
        <f>CONCATENATE(I498,"&lt;br&gt;"," |-")</f>
        <v xml:space="preserve"> | [http://atom.kaeri.re.kr/cgi-bin/nuclide?nuc=Pu-238 &lt;sub&gt;238&lt;/sub&gt;Pu] || - % || 87,7 Jahre || [[radioaktiv]], Kerntechnik, Isotopenbatterien&lt;br&gt; |-</v>
      </c>
    </row>
    <row r="499" spans="1:14" s="78" customFormat="1" ht="15.9" customHeight="1">
      <c r="A499">
        <v>94</v>
      </c>
      <c r="B499" s="82" t="s">
        <v>413</v>
      </c>
      <c r="C499" s="79">
        <v>239</v>
      </c>
      <c r="D499" s="78" t="s">
        <v>1068</v>
      </c>
      <c r="E499" t="s">
        <v>1173</v>
      </c>
      <c r="F499" t="s">
        <v>1192</v>
      </c>
      <c r="G499" t="str">
        <f>CONCATENATE("[","http://atom.kaeri.re.kr/cgi-bin/nuclide?nuc=",B499,"-",C499," &lt;sub&gt;",C499,"&lt;/sub&gt;",B499,"]")</f>
        <v>[http://atom.kaeri.re.kr/cgi-bin/nuclide?nuc=Pu-239 &lt;sub&gt;239&lt;/sub&gt;Pu]</v>
      </c>
      <c r="H499" t="str">
        <f>CONCATENATE(D499," % || ",E499)</f>
        <v>- % || 24110 Jahre</v>
      </c>
      <c r="I499" t="str">
        <f>CONCATENATE(" | ",G499," || ",H499," || ",F499)</f>
        <v xml:space="preserve"> | [http://atom.kaeri.re.kr/cgi-bin/nuclide?nuc=Pu-239 &lt;sub&gt;239&lt;/sub&gt;Pu] || - % || 24110 Jahre || [[radioaktiv]], Kerntechnik, Kernwaffentechnik</v>
      </c>
      <c r="J499"/>
      <c r="K499"/>
      <c r="L499"/>
      <c r="M499"/>
      <c r="N499" t="str">
        <f>CONCATENATE(I499,"&lt;br&gt;"," |-")</f>
        <v xml:space="preserve"> | [http://atom.kaeri.re.kr/cgi-bin/nuclide?nuc=Pu-239 &lt;sub&gt;239&lt;/sub&gt;Pu] || - % || 24110 Jahre || [[radioaktiv]], Kerntechnik, Kernwaffentechnik&lt;br&gt; |-</v>
      </c>
    </row>
    <row r="500" spans="1:14" ht="15.9" customHeight="1">
      <c r="A500">
        <v>94</v>
      </c>
      <c r="B500" s="83" t="s">
        <v>413</v>
      </c>
      <c r="C500">
        <v>999</v>
      </c>
      <c r="D500" t="s">
        <v>414</v>
      </c>
      <c r="E500" t="s">
        <v>1175</v>
      </c>
      <c r="N500" t="str">
        <f>CONCATENATE(" |}&lt;br&gt;* [http://atom.kaeri.re.kr/cgi-bin/nuclide?nuc=",B500," alle bekannten ",D500,"-Isotope]")</f>
        <v xml:space="preserve"> |}&lt;br&gt;* [http://atom.kaeri.re.kr/cgi-bin/nuclide?nuc=Pu alle bekannten Plutonium-Isotope]</v>
      </c>
    </row>
    <row r="501" spans="1:14" ht="15.9" customHeight="1">
      <c r="A501">
        <v>95</v>
      </c>
      <c r="B501" s="83" t="s">
        <v>415</v>
      </c>
      <c r="C501" s="73">
        <v>0</v>
      </c>
      <c r="D501" t="s">
        <v>416</v>
      </c>
      <c r="E501" t="s">
        <v>1175</v>
      </c>
      <c r="N501" t="str">
        <f>CONCATENATE("=== [[",D501,"]] ===&lt;br&gt;{| {{tabelle}}&lt;br&gt;! Isotop !! ",$D$1," !! [[",$E$1,"]] !! ",$F$1," &lt;br&gt; |-")</f>
        <v>=== [[Americium]] ===&lt;br&gt;{| {{tabelle}}&lt;br&gt;! Isotop !! natürliche Häufigkeit !! [[Halbwertszeit]] !! Herkunft, techn. Bedeutung &lt;br&gt; |-</v>
      </c>
    </row>
    <row r="502" spans="1:14" s="78" customFormat="1" ht="15.9" customHeight="1">
      <c r="A502" s="78">
        <v>95</v>
      </c>
      <c r="B502" s="84" t="s">
        <v>415</v>
      </c>
      <c r="C502" s="79">
        <v>241</v>
      </c>
      <c r="D502" s="78" t="s">
        <v>1068</v>
      </c>
      <c r="E502" t="s">
        <v>1174</v>
      </c>
      <c r="F502" t="s">
        <v>1193</v>
      </c>
      <c r="G502" t="str">
        <f>CONCATENATE("[","http://atom.kaeri.re.kr/cgi-bin/nuclide?nuc=",B502,"-",C502," &lt;sub&gt;",C502,"&lt;/sub&gt;",B502,"]")</f>
        <v>[http://atom.kaeri.re.kr/cgi-bin/nuclide?nuc=Am-241 &lt;sub&gt;241&lt;/sub&gt;Am]</v>
      </c>
      <c r="H502" t="str">
        <f>CONCATENATE(D502," % || ",E502)</f>
        <v>- % || 433 Jahre</v>
      </c>
      <c r="I502" t="str">
        <f>CONCATENATE(" | ",G502," || ",H502," || ",F502)</f>
        <v xml:space="preserve"> | [http://atom.kaeri.re.kr/cgi-bin/nuclide?nuc=Am-241 &lt;sub&gt;241&lt;/sub&gt;Am] || - % || 433 Jahre || [[radioaktiv]], Kerntechnik, Brandmelder, Prüftechnik</v>
      </c>
      <c r="J502"/>
      <c r="K502"/>
      <c r="L502"/>
      <c r="M502"/>
      <c r="N502" t="str">
        <f>CONCATENATE(I502,"&lt;br&gt;"," |-")</f>
        <v xml:space="preserve"> | [http://atom.kaeri.re.kr/cgi-bin/nuclide?nuc=Am-241 &lt;sub&gt;241&lt;/sub&gt;Am] || - % || 433 Jahre || [[radioaktiv]], Kerntechnik, Brandmelder, Prüftechnik&lt;br&gt; |-</v>
      </c>
    </row>
    <row r="503" spans="1:14" ht="15.9" customHeight="1">
      <c r="A503">
        <v>95</v>
      </c>
      <c r="B503" s="83" t="s">
        <v>415</v>
      </c>
      <c r="C503">
        <v>999</v>
      </c>
      <c r="D503" t="s">
        <v>416</v>
      </c>
      <c r="E503" t="s">
        <v>1175</v>
      </c>
      <c r="N503" t="str">
        <f>CONCATENATE(" |}&lt;br&gt;* [http://atom.kaeri.re.kr/cgi-bin/nuclide?nuc=",B503," alle bekannten ",D503,"-Isotope]")</f>
        <v xml:space="preserve"> |}&lt;br&gt;* [http://atom.kaeri.re.kr/cgi-bin/nuclide?nuc=Am alle bekannten Americium-Isotope]</v>
      </c>
    </row>
    <row r="504" spans="1:14" ht="15.9" customHeight="1">
      <c r="A504">
        <v>96</v>
      </c>
      <c r="B504" s="83" t="s">
        <v>417</v>
      </c>
      <c r="C504" s="73">
        <v>0</v>
      </c>
      <c r="D504" t="s">
        <v>418</v>
      </c>
      <c r="E504" t="s">
        <v>1175</v>
      </c>
      <c r="N504" t="str">
        <f>CONCATENATE("=== [[",D504,"]] ===&lt;br&gt;{| {{tabelle}}&lt;br&gt;! Isotop !! ",$D$1," !! [[",$E$1,"]] !! ",$F$1," &lt;br&gt; |-")</f>
        <v>=== [[Curium]] ===&lt;br&gt;{| {{tabelle}}&lt;br&gt;! Isotop !! natürliche Häufigkeit !! [[Halbwertszeit]] !! Herkunft, techn. Bedeutung &lt;br&gt; |-</v>
      </c>
    </row>
    <row r="505" spans="1:14" ht="15.9" customHeight="1">
      <c r="A505">
        <v>96</v>
      </c>
      <c r="B505" s="83" t="s">
        <v>417</v>
      </c>
      <c r="C505">
        <v>999</v>
      </c>
      <c r="D505" t="s">
        <v>418</v>
      </c>
      <c r="E505" t="s">
        <v>1175</v>
      </c>
      <c r="N505" t="str">
        <f>CONCATENATE(" |}&lt;br&gt;* [http://atom.kaeri.re.kr/cgi-bin/nuclide?nuc=",B505," alle bekannten ",D505,"-Isotope]")</f>
        <v xml:space="preserve"> |}&lt;br&gt;* [http://atom.kaeri.re.kr/cgi-bin/nuclide?nuc=Cm alle bekannten Curium-Isotope]</v>
      </c>
    </row>
    <row r="506" spans="1:14" ht="15.9" customHeight="1">
      <c r="A506">
        <v>97</v>
      </c>
      <c r="B506" s="83" t="s">
        <v>419</v>
      </c>
      <c r="C506" s="73">
        <v>0</v>
      </c>
      <c r="D506" t="s">
        <v>420</v>
      </c>
      <c r="E506" t="s">
        <v>1175</v>
      </c>
      <c r="N506" t="str">
        <f>CONCATENATE("=== [[",D506,"]] ===&lt;br&gt;{| {{tabelle}}&lt;br&gt;! Isotop !! ",$D$1," !! [[",$E$1,"]] !! ",$F$1," &lt;br&gt; |-")</f>
        <v>=== [[Berkelium]] ===&lt;br&gt;{| {{tabelle}}&lt;br&gt;! Isotop !! natürliche Häufigkeit !! [[Halbwertszeit]] !! Herkunft, techn. Bedeutung &lt;br&gt; |-</v>
      </c>
    </row>
    <row r="507" spans="1:14" ht="15.9" customHeight="1">
      <c r="A507">
        <v>97</v>
      </c>
      <c r="B507" s="83" t="s">
        <v>419</v>
      </c>
      <c r="C507">
        <v>999</v>
      </c>
      <c r="D507" t="s">
        <v>420</v>
      </c>
      <c r="E507" t="s">
        <v>1175</v>
      </c>
      <c r="N507" t="str">
        <f>CONCATENATE(" |}&lt;br&gt;* [http://atom.kaeri.re.kr/cgi-bin/nuclide?nuc=",B507," alle bekannten ",D507,"-Isotope]")</f>
        <v xml:space="preserve"> |}&lt;br&gt;* [http://atom.kaeri.re.kr/cgi-bin/nuclide?nuc=Bk alle bekannten Berkelium-Isotope]</v>
      </c>
    </row>
    <row r="508" spans="1:14" ht="15.9" customHeight="1">
      <c r="A508">
        <v>98</v>
      </c>
      <c r="B508" s="83" t="s">
        <v>421</v>
      </c>
      <c r="C508" s="73">
        <v>0</v>
      </c>
      <c r="D508" t="s">
        <v>422</v>
      </c>
      <c r="E508" t="s">
        <v>1175</v>
      </c>
      <c r="N508" t="str">
        <f>CONCATENATE("=== [[",D508,"]] ===&lt;br&gt;{| {{tabelle}}&lt;br&gt;! Isotop !! ",$D$1," !! [[",$E$1,"]] !! ",$F$1," &lt;br&gt; |-")</f>
        <v>=== [[Californium]] ===&lt;br&gt;{| {{tabelle}}&lt;br&gt;! Isotop !! natürliche Häufigkeit !! [[Halbwertszeit]] !! Herkunft, techn. Bedeutung &lt;br&gt; |-</v>
      </c>
    </row>
    <row r="509" spans="1:14" ht="15.9" customHeight="1">
      <c r="A509">
        <v>98</v>
      </c>
      <c r="B509" s="83" t="s">
        <v>421</v>
      </c>
      <c r="C509">
        <v>999</v>
      </c>
      <c r="D509" t="s">
        <v>422</v>
      </c>
      <c r="E509" t="s">
        <v>1175</v>
      </c>
      <c r="N509" t="str">
        <f>CONCATENATE(" |}&lt;br&gt;* [http://atom.kaeri.re.kr/cgi-bin/nuclide?nuc=",B509," alle bekannten ",D509,"-Isotope]")</f>
        <v xml:space="preserve"> |}&lt;br&gt;* [http://atom.kaeri.re.kr/cgi-bin/nuclide?nuc=Cf alle bekannten Californium-Isotope]</v>
      </c>
    </row>
    <row r="510" spans="1:14" ht="15.9" customHeight="1">
      <c r="A510">
        <v>99</v>
      </c>
      <c r="B510" s="83" t="s">
        <v>423</v>
      </c>
      <c r="C510" s="73">
        <v>0</v>
      </c>
      <c r="D510" t="s">
        <v>424</v>
      </c>
      <c r="E510" t="s">
        <v>1175</v>
      </c>
      <c r="N510" t="str">
        <f>CONCATENATE("=== [[",D510,"]] ===&lt;br&gt;{| {{tabelle}}&lt;br&gt;! Isotop !! ",$D$1," !! [[",$E$1,"]] !! ",$F$1," &lt;br&gt; |-")</f>
        <v>=== [[Einsteinium]] ===&lt;br&gt;{| {{tabelle}}&lt;br&gt;! Isotop !! natürliche Häufigkeit !! [[Halbwertszeit]] !! Herkunft, techn. Bedeutung &lt;br&gt; |-</v>
      </c>
    </row>
    <row r="511" spans="1:14" ht="15.9" customHeight="1">
      <c r="A511">
        <v>99</v>
      </c>
      <c r="B511" s="83" t="s">
        <v>423</v>
      </c>
      <c r="C511">
        <v>999</v>
      </c>
      <c r="D511" t="s">
        <v>424</v>
      </c>
      <c r="E511" t="s">
        <v>1175</v>
      </c>
      <c r="N511" t="str">
        <f>CONCATENATE(" |}&lt;br&gt;* [http://atom.kaeri.re.kr/cgi-bin/nuclide?nuc=",B511," alle bekannten ",D511,"-Isotope]")</f>
        <v xml:space="preserve"> |}&lt;br&gt;* [http://atom.kaeri.re.kr/cgi-bin/nuclide?nuc=Es alle bekannten Einsteinium-Isotope]</v>
      </c>
    </row>
    <row r="512" spans="1:14" ht="15.9" customHeight="1">
      <c r="A512">
        <v>100</v>
      </c>
      <c r="B512" s="83" t="s">
        <v>425</v>
      </c>
      <c r="C512" s="73">
        <v>0</v>
      </c>
      <c r="D512" t="s">
        <v>426</v>
      </c>
      <c r="E512" t="s">
        <v>1175</v>
      </c>
      <c r="N512" t="str">
        <f>CONCATENATE("=== [[",D512,"]] ===&lt;br&gt;{| {{tabelle}}&lt;br&gt;! Isotop !! ",$D$1," !! [[",$E$1,"]] !! ",$F$1," &lt;br&gt; |-")</f>
        <v>=== [[Fermium]] ===&lt;br&gt;{| {{tabelle}}&lt;br&gt;! Isotop !! natürliche Häufigkeit !! [[Halbwertszeit]] !! Herkunft, techn. Bedeutung &lt;br&gt; |-</v>
      </c>
    </row>
    <row r="513" spans="1:14" ht="15.9" customHeight="1">
      <c r="A513">
        <v>100</v>
      </c>
      <c r="B513" s="83" t="s">
        <v>425</v>
      </c>
      <c r="C513">
        <v>999</v>
      </c>
      <c r="D513" t="s">
        <v>426</v>
      </c>
      <c r="E513" t="s">
        <v>1175</v>
      </c>
      <c r="N513" t="str">
        <f>CONCATENATE(" |}&lt;br&gt;* [http://atom.kaeri.re.kr/cgi-bin/nuclide?nuc=",B513," alle bekannten ",D513,"-Isotope]")</f>
        <v xml:space="preserve"> |}&lt;br&gt;* [http://atom.kaeri.re.kr/cgi-bin/nuclide?nuc=Fm alle bekannten Fermium-Isotope]</v>
      </c>
    </row>
    <row r="514" spans="1:14" ht="15.9" customHeight="1">
      <c r="A514">
        <v>101</v>
      </c>
      <c r="B514" s="83" t="s">
        <v>427</v>
      </c>
      <c r="C514" s="73">
        <v>0</v>
      </c>
      <c r="D514" t="s">
        <v>428</v>
      </c>
      <c r="E514" t="s">
        <v>1175</v>
      </c>
      <c r="N514" t="str">
        <f>CONCATENATE("=== [[",D514,"]] ===&lt;br&gt;{| {{tabelle}}&lt;br&gt;! Isotop !! ",$D$1," !! [[",$E$1,"]] !! ",$F$1," &lt;br&gt; |-")</f>
        <v>=== [[Mendelevium]] ===&lt;br&gt;{| {{tabelle}}&lt;br&gt;! Isotop !! natürliche Häufigkeit !! [[Halbwertszeit]] !! Herkunft, techn. Bedeutung &lt;br&gt; |-</v>
      </c>
    </row>
    <row r="515" spans="1:14" ht="15.9" customHeight="1">
      <c r="A515">
        <v>101</v>
      </c>
      <c r="B515" s="83" t="s">
        <v>427</v>
      </c>
      <c r="C515">
        <v>999</v>
      </c>
      <c r="D515" t="s">
        <v>428</v>
      </c>
      <c r="E515" t="s">
        <v>1175</v>
      </c>
      <c r="N515" t="str">
        <f>CONCATENATE(" |}&lt;br&gt;* [http://atom.kaeri.re.kr/cgi-bin/nuclide?nuc=",B515," alle bekannten ",D515,"-Isotope]")</f>
        <v xml:space="preserve"> |}&lt;br&gt;* [http://atom.kaeri.re.kr/cgi-bin/nuclide?nuc=Md alle bekannten Mendelevium-Isotope]</v>
      </c>
    </row>
    <row r="516" spans="1:14" ht="15.9" customHeight="1">
      <c r="A516">
        <v>102</v>
      </c>
      <c r="B516" s="83" t="s">
        <v>429</v>
      </c>
      <c r="C516" s="73">
        <v>0</v>
      </c>
      <c r="D516" t="s">
        <v>430</v>
      </c>
      <c r="E516" t="s">
        <v>1175</v>
      </c>
      <c r="N516" t="str">
        <f>CONCATENATE("=== [[",D516,"]] ===&lt;br&gt;{| {{tabelle}}&lt;br&gt;! Isotop !! ",$D$1," !! [[",$E$1,"]] !! ",$F$1," &lt;br&gt; |-")</f>
        <v>=== [[Nobelium]] ===&lt;br&gt;{| {{tabelle}}&lt;br&gt;! Isotop !! natürliche Häufigkeit !! [[Halbwertszeit]] !! Herkunft, techn. Bedeutung &lt;br&gt; |-</v>
      </c>
    </row>
    <row r="517" spans="1:14" ht="15.9" customHeight="1">
      <c r="A517">
        <v>102</v>
      </c>
      <c r="B517" s="83" t="s">
        <v>429</v>
      </c>
      <c r="C517">
        <v>999</v>
      </c>
      <c r="D517" t="s">
        <v>430</v>
      </c>
      <c r="E517" t="s">
        <v>1175</v>
      </c>
      <c r="N517" t="str">
        <f>CONCATENATE(" |}&lt;br&gt;* [http://atom.kaeri.re.kr/cgi-bin/nuclide?nuc=",B517," alle bekannten ",D517,"-Isotope]")</f>
        <v xml:space="preserve"> |}&lt;br&gt;* [http://atom.kaeri.re.kr/cgi-bin/nuclide?nuc=No alle bekannten Nobelium-Isotope]</v>
      </c>
    </row>
    <row r="518" spans="1:14" ht="15.9" customHeight="1">
      <c r="A518">
        <v>103</v>
      </c>
      <c r="B518" s="83" t="s">
        <v>743</v>
      </c>
      <c r="C518" s="73">
        <v>0</v>
      </c>
      <c r="D518" t="s">
        <v>432</v>
      </c>
      <c r="E518" t="s">
        <v>1175</v>
      </c>
      <c r="N518" t="str">
        <f>CONCATENATE("=== [[",D518,"]] ===&lt;br&gt;{| {{tabelle}}&lt;br&gt;! Isotop !! ",$D$1," !! [[",$E$1,"]] !! ",$F$1," &lt;br&gt; |-")</f>
        <v>=== [[Lawrencium]] ===&lt;br&gt;{| {{tabelle}}&lt;br&gt;! Isotop !! natürliche Häufigkeit !! [[Halbwertszeit]] !! Herkunft, techn. Bedeutung &lt;br&gt; |-</v>
      </c>
    </row>
    <row r="519" spans="1:14" ht="15.9" customHeight="1">
      <c r="A519">
        <v>103</v>
      </c>
      <c r="B519" s="83" t="s">
        <v>743</v>
      </c>
      <c r="C519">
        <v>999</v>
      </c>
      <c r="D519" t="s">
        <v>432</v>
      </c>
      <c r="E519" t="s">
        <v>1175</v>
      </c>
      <c r="N519" t="str">
        <f>CONCATENATE(" |}&lt;br&gt;* [http://atom.kaeri.re.kr/cgi-bin/nuclide?nuc=",B519," alle bekannten ",D519,"-Isotope]")</f>
        <v xml:space="preserve"> |}&lt;br&gt;* [http://atom.kaeri.re.kr/cgi-bin/nuclide?nuc=Lr alle bekannten Lawrencium-Isotope]</v>
      </c>
    </row>
    <row r="520" spans="1:14" ht="15.9" customHeight="1">
      <c r="A520">
        <v>104</v>
      </c>
      <c r="B520" s="83" t="s">
        <v>433</v>
      </c>
      <c r="C520" s="73">
        <v>0</v>
      </c>
      <c r="D520" t="s">
        <v>434</v>
      </c>
      <c r="E520" t="s">
        <v>1175</v>
      </c>
      <c r="N520" t="str">
        <f>CONCATENATE("=== [[",D520,"]] ===&lt;br&gt;{| {{tabelle}}&lt;br&gt;! Isotop !! ",$D$1," !! [[",$E$1,"]] !! ",$F$1," &lt;br&gt; |-")</f>
        <v>=== [[Rutherfordium]] ===&lt;br&gt;{| {{tabelle}}&lt;br&gt;! Isotop !! natürliche Häufigkeit !! [[Halbwertszeit]] !! Herkunft, techn. Bedeutung &lt;br&gt; |-</v>
      </c>
    </row>
    <row r="521" spans="1:14" ht="15.9" customHeight="1">
      <c r="A521">
        <v>104</v>
      </c>
      <c r="B521" s="83" t="s">
        <v>433</v>
      </c>
      <c r="C521">
        <v>999</v>
      </c>
      <c r="D521" t="s">
        <v>434</v>
      </c>
      <c r="E521" t="s">
        <v>1175</v>
      </c>
      <c r="N521" t="str">
        <f>CONCATENATE(" |}&lt;br&gt;* [http://atom.kaeri.re.kr/cgi-bin/nuclide?nuc=",B521," alle bekannten ",D521,"-Isotope]")</f>
        <v xml:space="preserve"> |}&lt;br&gt;* [http://atom.kaeri.re.kr/cgi-bin/nuclide?nuc=Rf alle bekannten Rutherfordium-Isotope]</v>
      </c>
    </row>
    <row r="522" spans="1:14" ht="15.9" customHeight="1">
      <c r="A522">
        <v>105</v>
      </c>
      <c r="B522" s="83" t="s">
        <v>436</v>
      </c>
      <c r="C522" s="73">
        <v>0</v>
      </c>
      <c r="D522" t="s">
        <v>744</v>
      </c>
      <c r="E522" t="s">
        <v>1175</v>
      </c>
      <c r="N522" t="str">
        <f>CONCATENATE("=== [[",D522,"]] ===&lt;br&gt;{| {{tabelle}}&lt;br&gt;! Isotop !! ",$D$1," !! [[",$E$1,"]] !! ",$F$1," &lt;br&gt; |-")</f>
        <v>=== [[Dubnium]] ===&lt;br&gt;{| {{tabelle}}&lt;br&gt;! Isotop !! natürliche Häufigkeit !! [[Halbwertszeit]] !! Herkunft, techn. Bedeutung &lt;br&gt; |-</v>
      </c>
    </row>
    <row r="523" spans="1:14" ht="15.9" customHeight="1">
      <c r="A523">
        <v>105</v>
      </c>
      <c r="B523" s="83" t="s">
        <v>436</v>
      </c>
      <c r="C523">
        <v>999</v>
      </c>
      <c r="D523" t="s">
        <v>744</v>
      </c>
      <c r="E523" t="s">
        <v>1175</v>
      </c>
      <c r="N523" t="str">
        <f>CONCATENATE(" |}&lt;br&gt;* [http://atom.kaeri.re.kr/cgi-bin/nuclide?nuc=",B523," alle bekannten ",D523,"-Isotope]")</f>
        <v xml:space="preserve"> |}&lt;br&gt;* [http://atom.kaeri.re.kr/cgi-bin/nuclide?nuc=Db alle bekannten Dubnium-Isotope]</v>
      </c>
    </row>
    <row r="524" spans="1:14" ht="15.9" customHeight="1">
      <c r="A524">
        <v>106</v>
      </c>
      <c r="B524" s="83" t="s">
        <v>437</v>
      </c>
      <c r="C524" s="73">
        <v>0</v>
      </c>
      <c r="D524" t="s">
        <v>438</v>
      </c>
      <c r="E524" t="s">
        <v>1175</v>
      </c>
      <c r="N524" t="str">
        <f>CONCATENATE("=== [[",D524,"]] ===&lt;br&gt;{| {{tabelle}}&lt;br&gt;! Isotop !! ",$D$1," !! [[",$E$1,"]] !! ",$F$1," &lt;br&gt; |-")</f>
        <v>=== [[Seaborgium]] ===&lt;br&gt;{| {{tabelle}}&lt;br&gt;! Isotop !! natürliche Häufigkeit !! [[Halbwertszeit]] !! Herkunft, techn. Bedeutung &lt;br&gt; |-</v>
      </c>
    </row>
    <row r="525" spans="1:14" ht="15.9" customHeight="1">
      <c r="A525">
        <v>106</v>
      </c>
      <c r="B525" s="83" t="s">
        <v>437</v>
      </c>
      <c r="C525">
        <v>999</v>
      </c>
      <c r="D525" t="s">
        <v>438</v>
      </c>
      <c r="E525" t="s">
        <v>1175</v>
      </c>
      <c r="N525" t="str">
        <f>CONCATENATE(" |}&lt;br&gt;* [http://atom.kaeri.re.kr/cgi-bin/nuclide?nuc=",B525," alle bekannten ",D525,"-Isotope]")</f>
        <v xml:space="preserve"> |}&lt;br&gt;* [http://atom.kaeri.re.kr/cgi-bin/nuclide?nuc=Sg alle bekannten Seaborgium-Isotope]</v>
      </c>
    </row>
    <row r="526" spans="1:14" ht="15.9" customHeight="1">
      <c r="A526">
        <v>107</v>
      </c>
      <c r="B526" s="83" t="s">
        <v>439</v>
      </c>
      <c r="C526" s="73">
        <v>0</v>
      </c>
      <c r="D526" t="s">
        <v>745</v>
      </c>
      <c r="E526" t="s">
        <v>1175</v>
      </c>
      <c r="N526" t="str">
        <f>CONCATENATE("=== [[",D526,"]] ===&lt;br&gt;{| {{tabelle}}&lt;br&gt;! Isotop !! ",$D$1," !! [[",$E$1,"]] !! ",$F$1," &lt;br&gt; |-")</f>
        <v>=== [[Bohrium]] ===&lt;br&gt;{| {{tabelle}}&lt;br&gt;! Isotop !! natürliche Häufigkeit !! [[Halbwertszeit]] !! Herkunft, techn. Bedeutung &lt;br&gt; |-</v>
      </c>
    </row>
    <row r="527" spans="1:14" ht="15.9" customHeight="1">
      <c r="A527">
        <v>107</v>
      </c>
      <c r="B527" s="83" t="s">
        <v>439</v>
      </c>
      <c r="C527">
        <v>999</v>
      </c>
      <c r="D527" t="s">
        <v>745</v>
      </c>
      <c r="E527" t="s">
        <v>1175</v>
      </c>
      <c r="N527" t="str">
        <f>CONCATENATE(" |}&lt;br&gt;* [http://atom.kaeri.re.kr/cgi-bin/nuclide?nuc=",B527," alle bekannten ",D527,"-Isotope]")</f>
        <v xml:space="preserve"> |}&lt;br&gt;* [http://atom.kaeri.re.kr/cgi-bin/nuclide?nuc=Bh alle bekannten Bohrium-Isotope]</v>
      </c>
    </row>
    <row r="528" spans="1:14" ht="15.9" customHeight="1">
      <c r="A528">
        <v>108</v>
      </c>
      <c r="B528" s="83" t="s">
        <v>440</v>
      </c>
      <c r="C528" s="73">
        <v>0</v>
      </c>
      <c r="D528" t="s">
        <v>746</v>
      </c>
      <c r="E528" t="s">
        <v>1175</v>
      </c>
      <c r="N528" t="str">
        <f>CONCATENATE("=== [[",D528,"]] ===&lt;br&gt;{| {{tabelle}}&lt;br&gt;! Isotop !! ",$D$1," !! [[",$E$1,"]] !! ",$F$1," &lt;br&gt; |-")</f>
        <v>=== [[Hassium]] ===&lt;br&gt;{| {{tabelle}}&lt;br&gt;! Isotop !! natürliche Häufigkeit !! [[Halbwertszeit]] !! Herkunft, techn. Bedeutung &lt;br&gt; |-</v>
      </c>
    </row>
    <row r="529" spans="1:14" ht="15.9" customHeight="1">
      <c r="A529">
        <v>108</v>
      </c>
      <c r="B529" s="83" t="s">
        <v>440</v>
      </c>
      <c r="C529">
        <v>999</v>
      </c>
      <c r="D529" t="s">
        <v>746</v>
      </c>
      <c r="E529" t="s">
        <v>1175</v>
      </c>
      <c r="N529" t="str">
        <f>CONCATENATE(" |}&lt;br&gt;* [http://atom.kaeri.re.kr/cgi-bin/nuclide?nuc=",B529," alle bekannten ",D529,"-Isotope]")</f>
        <v xml:space="preserve"> |}&lt;br&gt;* [http://atom.kaeri.re.kr/cgi-bin/nuclide?nuc=Hs alle bekannten Hassium-Isotope]</v>
      </c>
    </row>
    <row r="530" spans="1:14" ht="15.9" customHeight="1">
      <c r="A530">
        <v>109</v>
      </c>
      <c r="B530" s="83" t="s">
        <v>441</v>
      </c>
      <c r="C530" s="73">
        <v>0</v>
      </c>
      <c r="D530" t="s">
        <v>747</v>
      </c>
      <c r="E530" t="s">
        <v>1175</v>
      </c>
      <c r="N530" t="str">
        <f>CONCATENATE("=== [[",D530,"]] ===&lt;br&gt;{| {{tabelle}}&lt;br&gt;! Isotop !! ",$D$1," !! [[",$E$1,"]] !! ",$F$1," &lt;br&gt; |-")</f>
        <v>=== [[Meitnerium]] ===&lt;br&gt;{| {{tabelle}}&lt;br&gt;! Isotop !! natürliche Häufigkeit !! [[Halbwertszeit]] !! Herkunft, techn. Bedeutung &lt;br&gt; |-</v>
      </c>
    </row>
    <row r="531" spans="1:14" ht="15.9" customHeight="1">
      <c r="A531">
        <v>109</v>
      </c>
      <c r="B531" s="83" t="s">
        <v>441</v>
      </c>
      <c r="C531">
        <v>999</v>
      </c>
      <c r="D531" t="s">
        <v>747</v>
      </c>
      <c r="E531" t="s">
        <v>1175</v>
      </c>
      <c r="N531" t="str">
        <f>CONCATENATE(" |}&lt;br&gt;* [http://atom.kaeri.re.kr/cgi-bin/nuclide?nuc=",B531," alle bekannten ",D531,"-Isotope]")</f>
        <v xml:space="preserve"> |}&lt;br&gt;* [http://atom.kaeri.re.kr/cgi-bin/nuclide?nuc=Mt alle bekannten Meitnerium-Isotope]</v>
      </c>
    </row>
    <row r="532" spans="1:14" ht="15.9" customHeight="1">
      <c r="A532">
        <v>110</v>
      </c>
      <c r="B532" s="83" t="s">
        <v>748</v>
      </c>
      <c r="C532" s="73">
        <v>0</v>
      </c>
      <c r="D532" t="s">
        <v>749</v>
      </c>
      <c r="E532" t="s">
        <v>1175</v>
      </c>
      <c r="N532" t="str">
        <f>CONCATENATE("=== [[",D532,"]] ===&lt;br&gt;{| {{tabelle}}&lt;br&gt;! Isotop !! ",$D$1," !! [[",$E$1,"]] !! ",$F$1," &lt;br&gt; |-")</f>
        <v>=== [[Darmstadtium]] ===&lt;br&gt;{| {{tabelle}}&lt;br&gt;! Isotop !! natürliche Häufigkeit !! [[Halbwertszeit]] !! Herkunft, techn. Bedeutung &lt;br&gt; |-</v>
      </c>
    </row>
    <row r="533" spans="1:14" ht="15.9" customHeight="1">
      <c r="A533">
        <v>110</v>
      </c>
      <c r="B533" s="83" t="s">
        <v>748</v>
      </c>
      <c r="C533">
        <v>999</v>
      </c>
      <c r="D533" t="s">
        <v>749</v>
      </c>
      <c r="E533" t="s">
        <v>1175</v>
      </c>
      <c r="N533" t="str">
        <f>CONCATENATE(" |}&lt;br&gt;* [http://atom.kaeri.re.kr/cgi-bin/nuclide?nuc=",B533," alle bekannten ",D533,"-Isotope]")</f>
        <v xml:space="preserve"> |}&lt;br&gt;* [http://atom.kaeri.re.kr/cgi-bin/nuclide?nuc=Ds alle bekannten Darmstadtium-Isotope]</v>
      </c>
    </row>
    <row r="534" spans="1:14" ht="15.9" customHeight="1">
      <c r="A534">
        <v>111</v>
      </c>
      <c r="B534" s="83" t="s">
        <v>751</v>
      </c>
      <c r="C534" s="73">
        <v>0</v>
      </c>
      <c r="D534" t="s">
        <v>750</v>
      </c>
      <c r="E534" t="s">
        <v>1175</v>
      </c>
      <c r="N534" t="str">
        <f>CONCATENATE("=== [[",D534,"]] ===&lt;br&gt;{| {{tabelle}}&lt;br&gt;! Isotop !! ",$D$1," !! [[",$E$1,"]] !! ",$F$1," &lt;br&gt; |-")</f>
        <v>=== [[Roentgenium]] ===&lt;br&gt;{| {{tabelle}}&lt;br&gt;! Isotop !! natürliche Häufigkeit !! [[Halbwertszeit]] !! Herkunft, techn. Bedeutung &lt;br&gt; |-</v>
      </c>
    </row>
    <row r="535" spans="1:14" ht="15.9" customHeight="1">
      <c r="A535">
        <v>111</v>
      </c>
      <c r="B535" s="83" t="s">
        <v>751</v>
      </c>
      <c r="C535">
        <v>999</v>
      </c>
      <c r="D535" t="s">
        <v>750</v>
      </c>
      <c r="E535" t="s">
        <v>1175</v>
      </c>
      <c r="N535" t="str">
        <f>CONCATENATE(" |}&lt;br&gt;* [http://atom.kaeri.re.kr/cgi-bin/nuclide?nuc=",B535," alle bekannten ",D535,"-Isotope]")</f>
        <v xml:space="preserve"> |}&lt;br&gt;* [http://atom.kaeri.re.kr/cgi-bin/nuclide?nuc=Rg alle bekannten Roentgenium-Isotope]</v>
      </c>
    </row>
    <row r="536" spans="1:14" ht="15.9" customHeight="1">
      <c r="A536">
        <v>112</v>
      </c>
      <c r="B536" s="83" t="s">
        <v>442</v>
      </c>
      <c r="C536" s="73">
        <v>0</v>
      </c>
      <c r="D536" t="s">
        <v>752</v>
      </c>
      <c r="E536" t="s">
        <v>1175</v>
      </c>
      <c r="N536" t="str">
        <f>CONCATENATE("=== [[",D536,"]] ===&lt;br&gt;{| {{tabelle}}&lt;br&gt;! Isotop !! ",$D$1," !! [[",$E$1,"]] !! ",$F$1," &lt;br&gt; |-")</f>
        <v>=== [[Ununbium]] ===&lt;br&gt;{| {{tabelle}}&lt;br&gt;! Isotop !! natürliche Häufigkeit !! [[Halbwertszeit]] !! Herkunft, techn. Bedeutung &lt;br&gt; |-</v>
      </c>
    </row>
    <row r="537" spans="1:14" ht="15.9" customHeight="1">
      <c r="A537">
        <v>112</v>
      </c>
      <c r="B537" s="83" t="s">
        <v>442</v>
      </c>
      <c r="C537">
        <v>999</v>
      </c>
      <c r="D537" t="s">
        <v>752</v>
      </c>
      <c r="E537" t="s">
        <v>1175</v>
      </c>
      <c r="N537" t="str">
        <f>CONCATENATE(" |}&lt;br&gt;* [http://atom.kaeri.re.kr/cgi-bin/nuclide?nuc=",B537," alle bekannten ",D537,"-Isotope]")</f>
        <v xml:space="preserve"> |}&lt;br&gt;* [http://atom.kaeri.re.kr/cgi-bin/nuclide?nuc=Uub alle bekannten Ununbium-Isotope]</v>
      </c>
    </row>
    <row r="538" spans="1:14" ht="15.9" customHeight="1">
      <c r="A538">
        <v>113</v>
      </c>
      <c r="B538" s="83" t="s">
        <v>753</v>
      </c>
      <c r="C538" s="73">
        <v>0</v>
      </c>
      <c r="D538" t="s">
        <v>754</v>
      </c>
      <c r="E538" t="s">
        <v>1175</v>
      </c>
      <c r="N538" t="str">
        <f>CONCATENATE("=== [[",D538,"]] ===&lt;br&gt;{| {{tabelle}}&lt;br&gt;! Isotop !! ",$D$1," !! [[",$E$1,"]] !! ",$F$1," &lt;br&gt; |-")</f>
        <v>=== [[Ununtrium ]] ===&lt;br&gt;{| {{tabelle}}&lt;br&gt;! Isotop !! natürliche Häufigkeit !! [[Halbwertszeit]] !! Herkunft, techn. Bedeutung &lt;br&gt; |-</v>
      </c>
    </row>
    <row r="539" spans="1:14" ht="15.9" customHeight="1">
      <c r="A539">
        <v>113</v>
      </c>
      <c r="B539" s="83" t="s">
        <v>753</v>
      </c>
      <c r="C539">
        <v>999</v>
      </c>
      <c r="D539" t="s">
        <v>754</v>
      </c>
      <c r="E539" t="s">
        <v>1175</v>
      </c>
      <c r="N539" t="str">
        <f>CONCATENATE(" |}&lt;br&gt;* [http://atom.kaeri.re.kr/cgi-bin/nuclide?nuc=",B539," alle bekannten ",D539,"-Isotope]")</f>
        <v xml:space="preserve"> |}&lt;br&gt;* [http://atom.kaeri.re.kr/cgi-bin/nuclide?nuc=Uut alle bekannten Ununtrium -Isotope]</v>
      </c>
    </row>
    <row r="540" spans="1:14" ht="15.9" customHeight="1">
      <c r="A540">
        <v>114</v>
      </c>
      <c r="B540" s="83" t="s">
        <v>757</v>
      </c>
      <c r="C540" s="73">
        <v>0</v>
      </c>
      <c r="D540" t="s">
        <v>755</v>
      </c>
      <c r="E540" t="s">
        <v>1175</v>
      </c>
      <c r="N540" t="str">
        <f>CONCATENATE("=== [[",D540,"]] ===&lt;br&gt;{| {{tabelle}}&lt;br&gt;! Isotop !! ",$D$1," !! [[",$E$1,"]] !! ",$F$1," &lt;br&gt; |-")</f>
        <v>=== [[Ununquadium]] ===&lt;br&gt;{| {{tabelle}}&lt;br&gt;! Isotop !! natürliche Häufigkeit !! [[Halbwertszeit]] !! Herkunft, techn. Bedeutung &lt;br&gt; |-</v>
      </c>
    </row>
    <row r="541" spans="1:14" ht="15.9" customHeight="1">
      <c r="A541">
        <v>114</v>
      </c>
      <c r="B541" s="83" t="s">
        <v>757</v>
      </c>
      <c r="C541">
        <v>999</v>
      </c>
      <c r="D541" t="s">
        <v>755</v>
      </c>
      <c r="E541" t="s">
        <v>1175</v>
      </c>
      <c r="N541" t="str">
        <f>CONCATENATE(" |}&lt;br&gt;* [http://atom.kaeri.re.kr/cgi-bin/nuclide?nuc=",B541," alle bekannten ",D541,"-Isotope]")</f>
        <v xml:space="preserve"> |}&lt;br&gt;* [http://atom.kaeri.re.kr/cgi-bin/nuclide?nuc=Uuq alle bekannten Ununquadium-Isotope]</v>
      </c>
    </row>
    <row r="542" spans="1:14" ht="15.9" customHeight="1">
      <c r="A542">
        <v>115</v>
      </c>
      <c r="B542" s="83" t="s">
        <v>758</v>
      </c>
      <c r="C542" s="73">
        <v>0</v>
      </c>
      <c r="D542" t="s">
        <v>761</v>
      </c>
      <c r="E542" t="s">
        <v>1175</v>
      </c>
      <c r="N542" t="str">
        <f>CONCATENATE("=== [[",D542,"]] ===&lt;br&gt;{| {{tabelle}}&lt;br&gt;! Isotop !! ",$D$1," !! [[",$E$1,"]] !! ",$F$1," &lt;br&gt; |-")</f>
        <v>=== [[Ununpentium]] ===&lt;br&gt;{| {{tabelle}}&lt;br&gt;! Isotop !! natürliche Häufigkeit !! [[Halbwertszeit]] !! Herkunft, techn. Bedeutung &lt;br&gt; |-</v>
      </c>
    </row>
    <row r="543" spans="1:14" ht="15.9" customHeight="1">
      <c r="A543">
        <v>115</v>
      </c>
      <c r="B543" s="83" t="s">
        <v>758</v>
      </c>
      <c r="C543">
        <v>999</v>
      </c>
      <c r="D543" t="s">
        <v>761</v>
      </c>
      <c r="E543" t="s">
        <v>1175</v>
      </c>
      <c r="N543" t="str">
        <f>CONCATENATE(" |}&lt;br&gt;* [http://atom.kaeri.re.kr/cgi-bin/nuclide?nuc=",B543," alle bekannten ",D543,"-Isotope]")</f>
        <v xml:space="preserve"> |}&lt;br&gt;* [http://atom.kaeri.re.kr/cgi-bin/nuclide?nuc=Uup alle bekannten Ununpentium-Isotope]</v>
      </c>
    </row>
    <row r="544" spans="1:14" ht="15.9" customHeight="1">
      <c r="A544">
        <v>116</v>
      </c>
      <c r="B544" s="83" t="s">
        <v>759</v>
      </c>
      <c r="C544" s="73">
        <v>0</v>
      </c>
      <c r="D544" t="s">
        <v>756</v>
      </c>
      <c r="E544" t="s">
        <v>1175</v>
      </c>
      <c r="N544" t="str">
        <f>CONCATENATE("=== [[",D544,"]] ===&lt;br&gt;{| {{tabelle}}&lt;br&gt;! Isotop !! ",$D$1," !! [[",$E$1,"]] !! ",$F$1," &lt;br&gt; |-")</f>
        <v>=== [[Ununhexium]] ===&lt;br&gt;{| {{tabelle}}&lt;br&gt;! Isotop !! natürliche Häufigkeit !! [[Halbwertszeit]] !! Herkunft, techn. Bedeutung &lt;br&gt; |-</v>
      </c>
    </row>
    <row r="545" spans="1:14" ht="15.9" customHeight="1">
      <c r="A545">
        <v>116</v>
      </c>
      <c r="B545" s="83" t="s">
        <v>759</v>
      </c>
      <c r="C545">
        <v>999</v>
      </c>
      <c r="D545" t="s">
        <v>756</v>
      </c>
      <c r="E545" t="s">
        <v>1175</v>
      </c>
      <c r="N545" t="str">
        <f>CONCATENATE(" |}&lt;br&gt;* [http://atom.kaeri.re.kr/cgi-bin/nuclide?nuc=",B545," alle bekannten ",D545,"-Isotope]")</f>
        <v xml:space="preserve"> |}&lt;br&gt;* [http://atom.kaeri.re.kr/cgi-bin/nuclide?nuc=Uuh alle bekannten Ununhexium-Isotope]</v>
      </c>
    </row>
    <row r="546" spans="1:14" ht="15.9" customHeight="1">
      <c r="A546">
        <v>117</v>
      </c>
      <c r="B546" s="83" t="s">
        <v>763</v>
      </c>
      <c r="C546" s="73">
        <v>0</v>
      </c>
      <c r="D546" t="s">
        <v>762</v>
      </c>
      <c r="E546" t="s">
        <v>1175</v>
      </c>
      <c r="N546" t="str">
        <f>CONCATENATE("=== [[",D546,"]] ===&lt;br&gt;{| {{tabelle}}&lt;br&gt;! Isotop !! ",$D$1," !! [[",$E$1,"]] !! ",$F$1," &lt;br&gt; |-")</f>
        <v>=== [[Ununseptium]] ===&lt;br&gt;{| {{tabelle}}&lt;br&gt;! Isotop !! natürliche Häufigkeit !! [[Halbwertszeit]] !! Herkunft, techn. Bedeutung &lt;br&gt; |-</v>
      </c>
    </row>
    <row r="547" spans="1:14" ht="15.9" customHeight="1">
      <c r="A547">
        <v>117</v>
      </c>
      <c r="B547" s="83" t="s">
        <v>763</v>
      </c>
      <c r="C547">
        <v>999</v>
      </c>
      <c r="D547" t="s">
        <v>762</v>
      </c>
      <c r="E547" t="s">
        <v>1175</v>
      </c>
      <c r="N547" t="str">
        <f>CONCATENATE(" |}&lt;br&gt;* [http://atom.kaeri.re.kr/cgi-bin/nuclide?nuc=",B547," alle bekannten ",D547,"-Isotope]")</f>
        <v xml:space="preserve"> |}&lt;br&gt;* [http://atom.kaeri.re.kr/cgi-bin/nuclide?nuc=Uus alle bekannten Ununseptium-Isotope]</v>
      </c>
    </row>
    <row r="548" spans="1:14" ht="15.9" customHeight="1">
      <c r="A548">
        <v>118</v>
      </c>
      <c r="B548" s="83" t="s">
        <v>764</v>
      </c>
      <c r="C548" s="73">
        <v>0</v>
      </c>
      <c r="D548" t="s">
        <v>760</v>
      </c>
      <c r="E548" t="s">
        <v>1175</v>
      </c>
      <c r="N548" t="str">
        <f>CONCATENATE("=== [[",D548,"]] ===&lt;br&gt;{| {{tabelle}}&lt;br&gt;! Isotop !! ",$D$1," !! [[",$E$1,"]] !! ",$F$1," &lt;br&gt; |-")</f>
        <v>=== [[Ununoctium]] ===&lt;br&gt;{| {{tabelle}}&lt;br&gt;! Isotop !! natürliche Häufigkeit !! [[Halbwertszeit]] !! Herkunft, techn. Bedeutung &lt;br&gt; |-</v>
      </c>
    </row>
    <row r="549" spans="1:14" ht="15.9" customHeight="1">
      <c r="A549">
        <v>118</v>
      </c>
      <c r="B549" s="83" t="s">
        <v>764</v>
      </c>
      <c r="C549">
        <v>999</v>
      </c>
      <c r="D549" t="s">
        <v>760</v>
      </c>
      <c r="E549" t="s">
        <v>1175</v>
      </c>
      <c r="N549" t="str">
        <f>CONCATENATE(" |}&lt;br&gt;* [http://atom.kaeri.re.kr/cgi-bin/nuclide?nuc=",B549," alle bekannten ",D549,"-Isotope]")</f>
        <v xml:space="preserve"> |}&lt;br&gt;* [http://atom.kaeri.re.kr/cgi-bin/nuclide?nuc=Uuo alle bekannten Ununoctium-Isotope]</v>
      </c>
    </row>
  </sheetData>
  <phoneticPr fontId="0"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PSE</vt:lpstr>
      <vt:lpstr>Tabelle1</vt:lpstr>
      <vt:lpstr>abc</vt:lpstr>
      <vt:lpstr>Isotope</vt:lpstr>
      <vt:lpstr>Tabelle1!Druckbereich</vt:lpstr>
      <vt:lpstr>abc!Print_Area</vt:lpstr>
      <vt:lpstr>PSE!TABLE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Rutherford: Dichte (Tabellarische Übersicht)</dc:title>
  <dc:creator>Giesler</dc:creator>
  <cp:lastModifiedBy>Detlef</cp:lastModifiedBy>
  <cp:lastPrinted>2011-12-22T20:30:42Z</cp:lastPrinted>
  <dcterms:created xsi:type="dcterms:W3CDTF">1999-10-10T22:32:49Z</dcterms:created>
  <dcterms:modified xsi:type="dcterms:W3CDTF">2013-03-04T21:33:37Z</dcterms:modified>
</cp:coreProperties>
</file>